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comments23.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24.xml" ContentType="application/vnd.openxmlformats-officedocument.spreadsheetml.comments+xml"/>
  <Override PartName="/xl/drawings/drawing30.xml" ContentType="application/vnd.openxmlformats-officedocument.drawing+xml"/>
  <Override PartName="/xl/charts/chart1.xml" ContentType="application/vnd.openxmlformats-officedocument.drawingml.chart+xml"/>
  <Override PartName="/xl/drawings/drawing31.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showInkAnnotation="0" updateLinks="never" codeName="ThisWorkbook"/>
  <bookViews>
    <workbookView xWindow="14388" yWindow="-12" windowWidth="14436" windowHeight="11760"/>
  </bookViews>
  <sheets>
    <sheet name="Instructions" sheetId="32" r:id="rId1"/>
    <sheet name="Menu" sheetId="36" r:id="rId2"/>
    <sheet name="Universal Input Prices" sheetId="26" r:id="rId3"/>
    <sheet name="Irr Alfalfa" sheetId="34" r:id="rId4"/>
    <sheet name="Irr Canola" sheetId="23" r:id="rId5"/>
    <sheet name="Irr Corn" sheetId="11" r:id="rId6"/>
    <sheet name="Irr Corn Silage" sheetId="16" r:id="rId7"/>
    <sheet name="Irr Cotton" sheetId="3" r:id="rId8"/>
    <sheet name="Irr Peanuts" sheetId="18" r:id="rId9"/>
    <sheet name="Irr Sorghum" sheetId="5" r:id="rId10"/>
    <sheet name="Irr Sorghum Seed" sheetId="69" r:id="rId11"/>
    <sheet name="Irr Sorghum Silage" sheetId="19" r:id="rId12"/>
    <sheet name="Irr Sorghum Sudangrass" sheetId="39" r:id="rId13"/>
    <sheet name="Irr Soybeans" sheetId="21" r:id="rId14"/>
    <sheet name="Irr Sunflowers-Confection" sheetId="30" r:id="rId15"/>
    <sheet name="Irr Sunflowers-Oilseed" sheetId="22" r:id="rId16"/>
    <sheet name="Irr Triticale Silage" sheetId="75" r:id="rId17"/>
    <sheet name="Irr Wheat" sheetId="17" r:id="rId18"/>
    <sheet name="Irr Other Crop" sheetId="71" r:id="rId19"/>
    <sheet name="Dry Canola" sheetId="25" r:id="rId20"/>
    <sheet name="Dry Cotton" sheetId="9" r:id="rId21"/>
    <sheet name="Dry Sorghum" sheetId="15" r:id="rId22"/>
    <sheet name="Dry Sorghum Sudangrass" sheetId="40" r:id="rId23"/>
    <sheet name="Dry Sunflowers-Oilseed" sheetId="24" r:id="rId24"/>
    <sheet name="Dry Wheat" sheetId="7" r:id="rId25"/>
    <sheet name="Dry Other Crop" sheetId="73" r:id="rId26"/>
    <sheet name="Break-Even Comparison" sheetId="68" r:id="rId27"/>
    <sheet name="Comparative Returns" sheetId="27" r:id="rId28"/>
    <sheet name="Irrigation Analysis" sheetId="66" r:id="rId29"/>
    <sheet name="Graphs" sheetId="74" r:id="rId30"/>
  </sheets>
  <definedNames>
    <definedName name="Alfalfa_GPM">'Irr Alfalfa'!$B$39</definedName>
    <definedName name="Alfalfa_Inches">'Irr Alfalfa'!$B$37</definedName>
    <definedName name="Alfalfa_Price">'Universal Input Prices'!$B$4</definedName>
    <definedName name="Canola_GPM">'Irr Canola'!$B$40</definedName>
    <definedName name="Canola_Inches">'Irr Canola'!$B$38</definedName>
    <definedName name="Canola_Price">'Universal Input Prices'!$B$5</definedName>
    <definedName name="Corn_GPM">'Irr Corn'!$B$38</definedName>
    <definedName name="Corn_Inches">'Irr Corn'!$B$36</definedName>
    <definedName name="Corn_Price">'Universal Input Prices'!$B$6</definedName>
    <definedName name="Corn_Silage_GPM">'Irr Corn Silage'!$B$38</definedName>
    <definedName name="Corn_Silage_Inches">'Irr Corn Silage'!$B$36</definedName>
    <definedName name="Corn_Silage_Price">'Universal Input Prices'!$B$7</definedName>
    <definedName name="Cotton_GPM">'Irr Cotton'!$B$43</definedName>
    <definedName name="Cotton_Inches">'Irr Cotton'!$B$41</definedName>
    <definedName name="Cotton_Price">'Universal Input Prices'!$B$8</definedName>
    <definedName name="Cottonseed_Price">'Universal Input Prices'!$B$9</definedName>
    <definedName name="Dry_Other_Price">'Universal Input Prices'!$B$20</definedName>
    <definedName name="Fert_Names">'Universal Input Prices'!$A$26:$A$30</definedName>
    <definedName name="FIGURE1">Graphs!$E$3:$Q$7</definedName>
    <definedName name="FIGURE2">Graphs!$B$53:$U$85</definedName>
    <definedName name="Grazing_Price">'Universal Input Prices'!$B$22</definedName>
    <definedName name="Irr_Alfalfa_Share">'Irr Alfalfa'!$E$9</definedName>
    <definedName name="Irr_Other_Price">'Universal Input Prices'!$B$19</definedName>
    <definedName name="Limited_Input">'Irrigation Analysis'!$A$3</definedName>
    <definedName name="Other_GPM">'Irr Other Crop'!$B$39</definedName>
    <definedName name="Other_Inches">'Irr Other Crop'!$B$37</definedName>
    <definedName name="Peanut_Price">'Universal Input Prices'!$B$10</definedName>
    <definedName name="Peanuts_GPM">'Irr Peanuts'!$B$42</definedName>
    <definedName name="Peanuts_Inches">'Irr Peanuts'!$B$40</definedName>
    <definedName name="_xlnm.Print_Area" localSheetId="26">'Break-Even Comparison'!$A$2:$I$210</definedName>
    <definedName name="_xlnm.Print_Area" localSheetId="27">'Comparative Returns'!$A$2:$Y$30</definedName>
    <definedName name="_xlnm.Print_Area" localSheetId="19">'Dry Canola'!$A$2:$H$68</definedName>
    <definedName name="_xlnm.Print_Area" localSheetId="20">'Dry Cotton'!$A$2:$H$72</definedName>
    <definedName name="_xlnm.Print_Area" localSheetId="25">'Dry Other Crop'!$A$2:$H$67</definedName>
    <definedName name="_xlnm.Print_Area" localSheetId="21">'Dry Sorghum'!$A$2:$H$66</definedName>
    <definedName name="_xlnm.Print_Area" localSheetId="22">'Dry Sorghum Sudangrass'!$A$2:$H$65</definedName>
    <definedName name="_xlnm.Print_Area" localSheetId="23">'Dry Sunflowers-Oilseed'!$A$2:$H$67</definedName>
    <definedName name="_xlnm.Print_Area" localSheetId="24">'Dry Wheat'!$A$2:$H$67</definedName>
    <definedName name="_xlnm.Print_Area" localSheetId="29">Graphs!$A$2:$V$86</definedName>
    <definedName name="_xlnm.Print_Area" localSheetId="0">Instructions!$A$3:$I$60</definedName>
    <definedName name="_xlnm.Print_Area" localSheetId="3">'Irr Alfalfa'!$A$2:$H$71</definedName>
    <definedName name="_xlnm.Print_Area" localSheetId="4">'Irr Canola'!$A$2:$H$72</definedName>
    <definedName name="_xlnm.Print_Area" localSheetId="5">'Irr Corn'!$A$2:$H$70</definedName>
    <definedName name="_xlnm.Print_Area" localSheetId="6">'Irr Corn Silage'!$A$2:$H$70</definedName>
    <definedName name="_xlnm.Print_Area" localSheetId="7">'Irr Cotton'!$A$2:$H$75</definedName>
    <definedName name="_xlnm.Print_Area" localSheetId="18">'Irr Other Crop'!$A$2:$H$71</definedName>
    <definedName name="_xlnm.Print_Area" localSheetId="8">'Irr Peanuts'!$A$2:$H$74</definedName>
    <definedName name="_xlnm.Print_Area" localSheetId="9">'Irr Sorghum'!$A$2:$H$69</definedName>
    <definedName name="_xlnm.Print_Area" localSheetId="10">'Irr Sorghum Seed'!$A$2:$H$69</definedName>
    <definedName name="_xlnm.Print_Area" localSheetId="11">'Irr Sorghum Silage'!$A$2:$H$69</definedName>
    <definedName name="_xlnm.Print_Area" localSheetId="12">'Irr Sorghum Sudangrass'!$A$2:$H$68</definedName>
    <definedName name="_xlnm.Print_Area" localSheetId="13">'Irr Soybeans'!$A$2:$H$72</definedName>
    <definedName name="_xlnm.Print_Area" localSheetId="14">'Irr Sunflowers-Confection'!$A$2:$H$72</definedName>
    <definedName name="_xlnm.Print_Area" localSheetId="15">'Irr Sunflowers-Oilseed'!$A$2:$H$71</definedName>
    <definedName name="_xlnm.Print_Area" localSheetId="16">'Irr Triticale Silage'!$A$2:$H$69</definedName>
    <definedName name="_xlnm.Print_Area" localSheetId="17">'Irr Wheat'!$A$2:$H$70</definedName>
    <definedName name="_xlnm.Print_Area" localSheetId="28">'Irrigation Analysis'!$A$2:$W$41</definedName>
    <definedName name="_xlnm.Print_Area" localSheetId="1">Menu!$A$2:$J$39</definedName>
    <definedName name="_xlnm.Print_Area" localSheetId="2">'Universal Input Prices'!$A$2:$J$46</definedName>
    <definedName name="_xlnm.Print_Titles" localSheetId="26">'Break-Even Comparison'!$3:$4</definedName>
    <definedName name="_xlnm.Print_Titles" localSheetId="27">'Comparative Returns'!$A:$A</definedName>
    <definedName name="ROVCCOMBO">Graphs!$A$44:$V$86</definedName>
    <definedName name="Sorghum_GPM">'Irr Sorghum'!$B$37</definedName>
    <definedName name="Sorghum_Inches">'Irr Sorghum'!$B$35</definedName>
    <definedName name="Sorghum_Price">'Universal Input Prices'!$B$11</definedName>
    <definedName name="Sorghum_Seed_GPM">'Irr Sorghum Seed'!$B$37</definedName>
    <definedName name="Sorghum_Seed_Inches">'Irr Sorghum Seed'!$B$35</definedName>
    <definedName name="Sorghum_Seed_Price">'Universal Input Prices'!$B$12</definedName>
    <definedName name="Sorghum_Silage_GPM">'Irr Sorghum Silage'!$B$37</definedName>
    <definedName name="Sorghum_Silage_Inches">'Irr Sorghum Silage'!$B$35</definedName>
    <definedName name="Sorghum_Silage_Price">'Universal Input Prices'!$B$13</definedName>
    <definedName name="Sorghum_Sudan_GPM">'Irr Sorghum Sudangrass'!$B$37</definedName>
    <definedName name="Sorghum_Sudan_Inches">'Irr Sorghum Sudangrass'!$B$35</definedName>
    <definedName name="Soybean_Price">'Universal Input Prices'!$B$14</definedName>
    <definedName name="Soybeans_GPM">'Irr Soybeans'!$B$40</definedName>
    <definedName name="Soybeans_Inches">'Irr Soybeans'!$B$38</definedName>
    <definedName name="Sunflower_Conf_Price">'Universal Input Prices'!$B$15</definedName>
    <definedName name="Sunflower_Oil_Price">'Universal Input Prices'!$B$16</definedName>
    <definedName name="Sunflowers_Conf_GPM">'Irr Sunflowers-Confection'!$B$40</definedName>
    <definedName name="Sunflowers_Conf_Inches">'Irr Sunflowers-Confection'!$B$38</definedName>
    <definedName name="Sunflowers_Oil_GPM">'Irr Sunflowers-Oilseed'!$B$39</definedName>
    <definedName name="Sunflowers_Oil_Inches">'Irr Sunflowers-Oilseed'!$B$37</definedName>
    <definedName name="Triticale_Silage_GPM">'Irr Triticale Silage'!$B$37</definedName>
    <definedName name="Triticale_Silage_Inches">'Irr Triticale Silage'!$B$35</definedName>
    <definedName name="Triticale_Silage_Price">'Universal Input Prices'!$B$17</definedName>
    <definedName name="Wheat_GPM">'Irr Wheat'!$B$38</definedName>
    <definedName name="Wheat_Inches">'Irr Wheat'!$B$36</definedName>
    <definedName name="Wheat_Price">'Universal Input Prices'!$B$18</definedName>
  </definedNames>
  <calcPr calcId="145621"/>
</workbook>
</file>

<file path=xl/calcChain.xml><?xml version="1.0" encoding="utf-8"?>
<calcChain xmlns="http://schemas.openxmlformats.org/spreadsheetml/2006/main">
  <c r="F44" i="39" l="1"/>
  <c r="F45" i="11"/>
  <c r="F47" i="23"/>
  <c r="F46" i="34"/>
  <c r="F40" i="40"/>
  <c r="F47" i="9" l="1"/>
  <c r="F43" i="25"/>
  <c r="F44" i="75"/>
  <c r="F47" i="30"/>
  <c r="F47" i="21"/>
  <c r="F44" i="5" l="1"/>
  <c r="F44" i="19"/>
  <c r="F44" i="69"/>
  <c r="A24" i="66" l="1"/>
  <c r="V20" i="27"/>
  <c r="A20" i="27"/>
  <c r="N20" i="27"/>
  <c r="D129" i="68"/>
  <c r="D128" i="68"/>
  <c r="D127" i="68"/>
  <c r="D126" i="68"/>
  <c r="D125" i="68"/>
  <c r="C129" i="68"/>
  <c r="C128" i="68"/>
  <c r="C127" i="68"/>
  <c r="C126" i="68"/>
  <c r="C125" i="68"/>
  <c r="B125" i="68"/>
  <c r="B129" i="68"/>
  <c r="B128" i="68"/>
  <c r="B127" i="68"/>
  <c r="B126" i="68"/>
  <c r="A122" i="68"/>
  <c r="B89" i="68"/>
  <c r="B90" i="68"/>
  <c r="B91" i="68"/>
  <c r="B92" i="68"/>
  <c r="B93" i="68"/>
  <c r="B17" i="36"/>
  <c r="D9" i="75"/>
  <c r="F9" i="75" s="1"/>
  <c r="H58" i="75"/>
  <c r="F58" i="75"/>
  <c r="G58" i="75" s="1"/>
  <c r="F57" i="75"/>
  <c r="H57" i="75" s="1"/>
  <c r="F56" i="75"/>
  <c r="H56" i="75" s="1"/>
  <c r="F55" i="75"/>
  <c r="G55" i="75" s="1"/>
  <c r="F54" i="75"/>
  <c r="G54" i="75" s="1"/>
  <c r="F53" i="75"/>
  <c r="H53" i="75" s="1"/>
  <c r="F52" i="75"/>
  <c r="H52" i="75" s="1"/>
  <c r="F51" i="75"/>
  <c r="G51" i="75" s="1"/>
  <c r="F50" i="75"/>
  <c r="H50" i="75" s="1"/>
  <c r="B44" i="75"/>
  <c r="F43" i="75"/>
  <c r="G43" i="75" s="1"/>
  <c r="H42" i="75"/>
  <c r="G42" i="75"/>
  <c r="F42" i="75"/>
  <c r="B41" i="75"/>
  <c r="F41" i="75" s="1"/>
  <c r="H41" i="75" s="1"/>
  <c r="F40" i="75"/>
  <c r="H40" i="75" s="1"/>
  <c r="F39" i="75"/>
  <c r="H39" i="75" s="1"/>
  <c r="H38" i="75"/>
  <c r="G38" i="75"/>
  <c r="B37" i="75"/>
  <c r="B24" i="66" s="1"/>
  <c r="D24" i="66" s="1"/>
  <c r="D35" i="75"/>
  <c r="F35" i="75" s="1"/>
  <c r="D34" i="75"/>
  <c r="F34" i="75" s="1"/>
  <c r="D33" i="75"/>
  <c r="F33" i="75" s="1"/>
  <c r="D32" i="75"/>
  <c r="F32" i="75" s="1"/>
  <c r="D31" i="75"/>
  <c r="F31" i="75" s="1"/>
  <c r="F30" i="75"/>
  <c r="G30" i="75" s="1"/>
  <c r="F29" i="75"/>
  <c r="G29" i="75" s="1"/>
  <c r="F28" i="75"/>
  <c r="H28" i="75" s="1"/>
  <c r="H27" i="75"/>
  <c r="F27" i="75"/>
  <c r="G27" i="75" s="1"/>
  <c r="H26" i="75"/>
  <c r="G26" i="75"/>
  <c r="F26" i="75"/>
  <c r="F25" i="75"/>
  <c r="H25" i="75" s="1"/>
  <c r="B24" i="75"/>
  <c r="F24" i="75" s="1"/>
  <c r="F23" i="75"/>
  <c r="H23" i="75" s="1"/>
  <c r="F22" i="75"/>
  <c r="G22" i="75" s="1"/>
  <c r="F21" i="75"/>
  <c r="H21" i="75" s="1"/>
  <c r="F15" i="75"/>
  <c r="G15" i="75" s="1"/>
  <c r="F10" i="75"/>
  <c r="H10" i="75" s="1"/>
  <c r="G10" i="75" l="1"/>
  <c r="G21" i="75"/>
  <c r="F12" i="75"/>
  <c r="B20" i="27" s="1"/>
  <c r="H43" i="75"/>
  <c r="H55" i="75"/>
  <c r="H54" i="75"/>
  <c r="H51" i="75"/>
  <c r="G50" i="75"/>
  <c r="H22" i="75"/>
  <c r="U20" i="27"/>
  <c r="E24" i="66"/>
  <c r="F24" i="66" s="1"/>
  <c r="H30" i="75"/>
  <c r="G9" i="75"/>
  <c r="G12" i="75" s="1"/>
  <c r="C20" i="27" s="1"/>
  <c r="H9" i="75"/>
  <c r="H12" i="75" s="1"/>
  <c r="D20" i="27" s="1"/>
  <c r="H33" i="75"/>
  <c r="G33" i="75"/>
  <c r="H34" i="75"/>
  <c r="G34" i="75"/>
  <c r="H24" i="75"/>
  <c r="G24" i="75"/>
  <c r="H31" i="75"/>
  <c r="G31" i="75"/>
  <c r="H35" i="75"/>
  <c r="G35" i="75"/>
  <c r="H32" i="75"/>
  <c r="G32" i="75"/>
  <c r="G25" i="75"/>
  <c r="G40" i="75"/>
  <c r="G41" i="75"/>
  <c r="G53" i="75"/>
  <c r="G57" i="75"/>
  <c r="H15" i="75"/>
  <c r="G23" i="75"/>
  <c r="G28" i="75"/>
  <c r="H29" i="75"/>
  <c r="G39" i="75"/>
  <c r="G52" i="75"/>
  <c r="G56" i="75"/>
  <c r="F59" i="75"/>
  <c r="H59" i="75" l="1"/>
  <c r="G59" i="75"/>
  <c r="D9" i="30"/>
  <c r="F11" i="7" l="1"/>
  <c r="G11" i="7" s="1"/>
  <c r="F10" i="24"/>
  <c r="H10" i="24" s="1"/>
  <c r="F10" i="40"/>
  <c r="H10" i="40" s="1"/>
  <c r="F10" i="15"/>
  <c r="H10" i="15" s="1"/>
  <c r="F12" i="3"/>
  <c r="G12" i="3" s="1"/>
  <c r="F12" i="9"/>
  <c r="G12" i="9" s="1"/>
  <c r="H10" i="25"/>
  <c r="F10" i="25"/>
  <c r="G10" i="25" s="1"/>
  <c r="F11" i="17"/>
  <c r="H11" i="17" s="1"/>
  <c r="F10" i="22"/>
  <c r="G10" i="22" s="1"/>
  <c r="F11" i="30"/>
  <c r="H11" i="30" s="1"/>
  <c r="F10" i="21"/>
  <c r="G10" i="21" s="1"/>
  <c r="H10" i="39"/>
  <c r="F10" i="39"/>
  <c r="G10" i="39" s="1"/>
  <c r="F10" i="19"/>
  <c r="G10" i="19" s="1"/>
  <c r="F10" i="69"/>
  <c r="G10" i="69" s="1"/>
  <c r="F10" i="5"/>
  <c r="G10" i="5" s="1"/>
  <c r="F10" i="18"/>
  <c r="H10" i="18" s="1"/>
  <c r="F10" i="16"/>
  <c r="G10" i="16" s="1"/>
  <c r="F10" i="11"/>
  <c r="H10" i="11" s="1"/>
  <c r="F10" i="23"/>
  <c r="H10" i="23" s="1"/>
  <c r="F10" i="34"/>
  <c r="H10" i="69" l="1"/>
  <c r="H10" i="5"/>
  <c r="H10" i="21"/>
  <c r="H10" i="22"/>
  <c r="H10" i="19"/>
  <c r="H10" i="16"/>
  <c r="H11" i="7"/>
  <c r="G10" i="24"/>
  <c r="G10" i="40"/>
  <c r="G10" i="15"/>
  <c r="G11" i="17"/>
  <c r="G11" i="30"/>
  <c r="G10" i="18"/>
  <c r="G10" i="11"/>
  <c r="G10" i="23"/>
  <c r="H10" i="34"/>
  <c r="G10" i="34"/>
  <c r="B30" i="3" l="1"/>
  <c r="B42" i="11" l="1"/>
  <c r="B47" i="3"/>
  <c r="B41" i="5"/>
  <c r="B41" i="69"/>
  <c r="B43" i="71"/>
  <c r="B39" i="73"/>
  <c r="D10" i="7" l="1"/>
  <c r="D9" i="40"/>
  <c r="D10" i="17"/>
  <c r="D9" i="39"/>
  <c r="B31" i="9"/>
  <c r="D29" i="3"/>
  <c r="B27" i="26" l="1"/>
  <c r="D19" i="75" s="1"/>
  <c r="F19" i="75" s="1"/>
  <c r="B26" i="26"/>
  <c r="B28" i="26"/>
  <c r="D17" i="75" s="1"/>
  <c r="F17" i="75" s="1"/>
  <c r="H17" i="75" l="1"/>
  <c r="G17" i="75"/>
  <c r="H19" i="75"/>
  <c r="G19" i="75"/>
  <c r="D21" i="9"/>
  <c r="D21" i="3"/>
  <c r="D17" i="24"/>
  <c r="D18" i="22"/>
  <c r="D19" i="5"/>
  <c r="D19" i="30"/>
  <c r="D20" i="16"/>
  <c r="D20" i="11"/>
  <c r="D20" i="17"/>
  <c r="D20" i="23"/>
  <c r="D19" i="23"/>
  <c r="D20" i="18"/>
  <c r="D19" i="25"/>
  <c r="D36" i="11"/>
  <c r="F36" i="11" l="1"/>
  <c r="D20" i="7"/>
  <c r="F20" i="7" s="1"/>
  <c r="D19" i="7"/>
  <c r="F19" i="7" s="1"/>
  <c r="D19" i="24"/>
  <c r="F19" i="24" s="1"/>
  <c r="D18" i="24"/>
  <c r="F18" i="24" s="1"/>
  <c r="D19" i="40"/>
  <c r="F19" i="40" s="1"/>
  <c r="D18" i="40"/>
  <c r="F18" i="40" s="1"/>
  <c r="D19" i="15"/>
  <c r="F19" i="15" s="1"/>
  <c r="D18" i="15"/>
  <c r="F18" i="15" s="1"/>
  <c r="D22" i="9"/>
  <c r="F22" i="9" s="1"/>
  <c r="D21" i="25"/>
  <c r="F21" i="25" s="1"/>
  <c r="D20" i="25"/>
  <c r="F20" i="25" s="1"/>
  <c r="D19" i="22"/>
  <c r="F19" i="22" s="1"/>
  <c r="D20" i="30"/>
  <c r="F20" i="30" s="1"/>
  <c r="D22" i="21"/>
  <c r="F22" i="21" s="1"/>
  <c r="D21" i="21"/>
  <c r="F21" i="21" s="1"/>
  <c r="D19" i="39"/>
  <c r="F19" i="39" s="1"/>
  <c r="D19" i="19"/>
  <c r="F19" i="19" s="1"/>
  <c r="D21" i="18"/>
  <c r="F21" i="18" s="1"/>
  <c r="D22" i="3"/>
  <c r="F22" i="3" s="1"/>
  <c r="D21" i="23"/>
  <c r="F21" i="23" s="1"/>
  <c r="D19" i="34"/>
  <c r="F19" i="34" s="1"/>
  <c r="D20" i="34"/>
  <c r="F20" i="34" s="1"/>
  <c r="G36" i="11" l="1"/>
  <c r="H36" i="11"/>
  <c r="H19" i="7"/>
  <c r="G19" i="7"/>
  <c r="H20" i="7"/>
  <c r="G20" i="7"/>
  <c r="H18" i="24"/>
  <c r="G18" i="24"/>
  <c r="H19" i="24"/>
  <c r="G19" i="24"/>
  <c r="H18" i="40"/>
  <c r="G18" i="40"/>
  <c r="H19" i="40"/>
  <c r="G19" i="40"/>
  <c r="H18" i="15"/>
  <c r="G18" i="15"/>
  <c r="H19" i="15"/>
  <c r="G19" i="15"/>
  <c r="H22" i="9"/>
  <c r="G22" i="9"/>
  <c r="H20" i="25"/>
  <c r="G20" i="25"/>
  <c r="H21" i="25"/>
  <c r="G21" i="25"/>
  <c r="H19" i="22"/>
  <c r="G19" i="22"/>
  <c r="H20" i="30"/>
  <c r="G20" i="30"/>
  <c r="H21" i="21"/>
  <c r="G21" i="21"/>
  <c r="H22" i="21"/>
  <c r="G22" i="21"/>
  <c r="H19" i="39"/>
  <c r="G19" i="39"/>
  <c r="H19" i="19"/>
  <c r="G19" i="19"/>
  <c r="H21" i="18"/>
  <c r="G21" i="18"/>
  <c r="H22" i="3"/>
  <c r="G22" i="3"/>
  <c r="H21" i="23"/>
  <c r="G21" i="23"/>
  <c r="H19" i="34"/>
  <c r="G19" i="34"/>
  <c r="G20" i="34"/>
  <c r="H20" i="34"/>
  <c r="B29" i="26"/>
  <c r="D20" i="71" l="1"/>
  <c r="D17" i="19"/>
  <c r="D20" i="9"/>
  <c r="D19" i="18"/>
  <c r="D20" i="73"/>
  <c r="D20" i="3"/>
  <c r="D18" i="71"/>
  <c r="D18" i="73"/>
  <c r="D210" i="68"/>
  <c r="I210" i="68" s="1"/>
  <c r="C210" i="68"/>
  <c r="B210" i="68"/>
  <c r="G210" i="68" s="1"/>
  <c r="D209" i="68"/>
  <c r="I209" i="68" s="1"/>
  <c r="C209" i="68"/>
  <c r="B209" i="68"/>
  <c r="H209" i="68" s="1"/>
  <c r="D208" i="68"/>
  <c r="I208" i="68" s="1"/>
  <c r="C208" i="68"/>
  <c r="B208" i="68"/>
  <c r="G208" i="68" s="1"/>
  <c r="D207" i="68"/>
  <c r="I207" i="68" s="1"/>
  <c r="C207" i="68"/>
  <c r="B207" i="68"/>
  <c r="E207" i="68" s="1"/>
  <c r="D206" i="68"/>
  <c r="I206" i="68" s="1"/>
  <c r="C206" i="68"/>
  <c r="B206" i="68"/>
  <c r="F206" i="68" s="1"/>
  <c r="B198" i="68"/>
  <c r="C198" i="68"/>
  <c r="D198" i="68"/>
  <c r="B199" i="68"/>
  <c r="C199" i="68"/>
  <c r="D199" i="68"/>
  <c r="B200" i="68"/>
  <c r="C200" i="68"/>
  <c r="D200" i="68"/>
  <c r="B201" i="68"/>
  <c r="C201" i="68"/>
  <c r="D201" i="68"/>
  <c r="D197" i="68"/>
  <c r="C197" i="68"/>
  <c r="B197" i="68"/>
  <c r="A194" i="68"/>
  <c r="B189" i="68"/>
  <c r="C189" i="68"/>
  <c r="D189" i="68"/>
  <c r="B190" i="68"/>
  <c r="C190" i="68"/>
  <c r="D190" i="68"/>
  <c r="B191" i="68"/>
  <c r="C191" i="68"/>
  <c r="D191" i="68"/>
  <c r="B192" i="68"/>
  <c r="C192" i="68"/>
  <c r="D192" i="68"/>
  <c r="D188" i="68"/>
  <c r="C188" i="68"/>
  <c r="B188" i="68"/>
  <c r="A185" i="68"/>
  <c r="D180" i="68"/>
  <c r="D181" i="68"/>
  <c r="D182" i="68"/>
  <c r="D183" i="68"/>
  <c r="D179" i="68"/>
  <c r="C180" i="68"/>
  <c r="C181" i="68"/>
  <c r="C182" i="68"/>
  <c r="C183" i="68"/>
  <c r="C179" i="68"/>
  <c r="B180" i="68"/>
  <c r="B181" i="68"/>
  <c r="B182" i="68"/>
  <c r="B183" i="68"/>
  <c r="B179" i="68"/>
  <c r="A176" i="68"/>
  <c r="C171" i="68"/>
  <c r="D171" i="68"/>
  <c r="C172" i="68"/>
  <c r="D172" i="68"/>
  <c r="C173" i="68"/>
  <c r="D173" i="68"/>
  <c r="C174" i="68"/>
  <c r="D174" i="68"/>
  <c r="D170" i="68"/>
  <c r="C170" i="68"/>
  <c r="B171" i="68"/>
  <c r="B172" i="68"/>
  <c r="B173" i="68"/>
  <c r="B174" i="68"/>
  <c r="B170" i="68"/>
  <c r="A167" i="68"/>
  <c r="C162" i="68"/>
  <c r="D162" i="68"/>
  <c r="C163" i="68"/>
  <c r="D163" i="68"/>
  <c r="C164" i="68"/>
  <c r="D164" i="68"/>
  <c r="C165" i="68"/>
  <c r="D165" i="68"/>
  <c r="D161" i="68"/>
  <c r="C161" i="68"/>
  <c r="B162" i="68"/>
  <c r="B163" i="68"/>
  <c r="B164" i="68"/>
  <c r="B165" i="68"/>
  <c r="B161" i="68"/>
  <c r="A158" i="68"/>
  <c r="D153" i="68"/>
  <c r="D154" i="68"/>
  <c r="D155" i="68"/>
  <c r="D156" i="68"/>
  <c r="D152" i="68"/>
  <c r="C153" i="68"/>
  <c r="C154" i="68"/>
  <c r="C155" i="68"/>
  <c r="C156" i="68"/>
  <c r="C152" i="68"/>
  <c r="B153" i="68"/>
  <c r="B154" i="68"/>
  <c r="B155" i="68"/>
  <c r="B156" i="68"/>
  <c r="B152" i="68"/>
  <c r="A149" i="68"/>
  <c r="C90" i="68"/>
  <c r="D90" i="68"/>
  <c r="C91" i="68"/>
  <c r="D91" i="68"/>
  <c r="C92" i="68"/>
  <c r="D92" i="68"/>
  <c r="C93" i="68"/>
  <c r="D93" i="68"/>
  <c r="D89" i="68"/>
  <c r="C89" i="68"/>
  <c r="A86" i="68"/>
  <c r="D26" i="66"/>
  <c r="E26" i="66" s="1"/>
  <c r="D37" i="71"/>
  <c r="F210" i="68" l="1"/>
  <c r="H206" i="68"/>
  <c r="E210" i="68"/>
  <c r="H210" i="68"/>
  <c r="F209" i="68"/>
  <c r="G206" i="68"/>
  <c r="G209" i="68"/>
  <c r="F208" i="68"/>
  <c r="E208" i="68"/>
  <c r="H207" i="68"/>
  <c r="E206" i="68"/>
  <c r="F207" i="68"/>
  <c r="H208" i="68"/>
  <c r="G207" i="68"/>
  <c r="E209" i="68"/>
  <c r="B39" i="71"/>
  <c r="B26" i="66" s="1"/>
  <c r="B38" i="17"/>
  <c r="B25" i="66" s="1"/>
  <c r="D25" i="66" s="1"/>
  <c r="E25" i="66" s="1"/>
  <c r="B39" i="22"/>
  <c r="B23" i="66" s="1"/>
  <c r="D23" i="66" s="1"/>
  <c r="E23" i="66" s="1"/>
  <c r="B40" i="30"/>
  <c r="B22" i="66" s="1"/>
  <c r="D22" i="66" s="1"/>
  <c r="E22" i="66" s="1"/>
  <c r="B40" i="21"/>
  <c r="B21" i="66" s="1"/>
  <c r="D21" i="66" s="1"/>
  <c r="E21" i="66" s="1"/>
  <c r="B37" i="39"/>
  <c r="B37" i="19"/>
  <c r="B19" i="66" s="1"/>
  <c r="D19" i="66" s="1"/>
  <c r="E19" i="66" s="1"/>
  <c r="B37" i="69"/>
  <c r="B18" i="66" s="1"/>
  <c r="D18" i="66" s="1"/>
  <c r="E18" i="66" s="1"/>
  <c r="B37" i="5"/>
  <c r="B17" i="66" s="1"/>
  <c r="D17" i="66" s="1"/>
  <c r="E17" i="66" s="1"/>
  <c r="B42" i="18"/>
  <c r="B16" i="66" s="1"/>
  <c r="D16" i="66" s="1"/>
  <c r="E16" i="66" s="1"/>
  <c r="B43" i="3"/>
  <c r="B15" i="66" s="1"/>
  <c r="D15" i="66" s="1"/>
  <c r="E15" i="66" s="1"/>
  <c r="B38" i="16"/>
  <c r="B14" i="66" s="1"/>
  <c r="D14" i="66" s="1"/>
  <c r="E14" i="66" s="1"/>
  <c r="B38" i="11"/>
  <c r="B13" i="66" s="1"/>
  <c r="D13" i="66" s="1"/>
  <c r="E13" i="66" s="1"/>
  <c r="B40" i="23"/>
  <c r="B12" i="66" s="1"/>
  <c r="D12" i="66" s="1"/>
  <c r="E12" i="66" s="1"/>
  <c r="B39" i="34"/>
  <c r="B11" i="66" s="1"/>
  <c r="B20" i="66" l="1"/>
  <c r="D20" i="66" s="1"/>
  <c r="E20" i="66" s="1"/>
  <c r="D11" i="66"/>
  <c r="E11" i="66" s="1"/>
  <c r="B26" i="36"/>
  <c r="B25" i="36"/>
  <c r="B24" i="36"/>
  <c r="B23" i="36"/>
  <c r="B22" i="36"/>
  <c r="B21" i="36"/>
  <c r="B18" i="36"/>
  <c r="B16" i="36"/>
  <c r="B15" i="36"/>
  <c r="B14" i="36"/>
  <c r="B13" i="36"/>
  <c r="B12" i="36"/>
  <c r="B11" i="36"/>
  <c r="B10" i="36"/>
  <c r="B9" i="36"/>
  <c r="B8" i="36"/>
  <c r="B7" i="36"/>
  <c r="B6" i="36"/>
  <c r="B5" i="36"/>
  <c r="B4" i="36"/>
  <c r="A28" i="27" l="1"/>
  <c r="A27" i="27"/>
  <c r="A26" i="27"/>
  <c r="A25" i="27"/>
  <c r="A24" i="27"/>
  <c r="A23" i="27"/>
  <c r="A21" i="27"/>
  <c r="A19" i="27"/>
  <c r="A18" i="27"/>
  <c r="A17" i="27"/>
  <c r="A16" i="27"/>
  <c r="A15" i="27"/>
  <c r="A14" i="27"/>
  <c r="A13" i="27"/>
  <c r="A12" i="27"/>
  <c r="A11" i="27"/>
  <c r="A10" i="27"/>
  <c r="A9" i="27"/>
  <c r="A8" i="27"/>
  <c r="A7" i="27"/>
  <c r="A32" i="66"/>
  <c r="A31" i="66"/>
  <c r="A30" i="66"/>
  <c r="A29" i="66"/>
  <c r="A28" i="66"/>
  <c r="A27" i="66"/>
  <c r="A18" i="66"/>
  <c r="A12" i="66"/>
  <c r="A3" i="73" l="1"/>
  <c r="A3" i="71"/>
  <c r="A203" i="68" l="1"/>
  <c r="B27" i="36"/>
  <c r="A29" i="27"/>
  <c r="A33" i="66"/>
  <c r="B19" i="36"/>
  <c r="A26" i="66"/>
  <c r="A22" i="27"/>
  <c r="B30" i="26" l="1"/>
  <c r="D18" i="75" s="1"/>
  <c r="F18" i="75" s="1"/>
  <c r="G18" i="75" l="1"/>
  <c r="G44" i="75" s="1"/>
  <c r="G46" i="75" s="1"/>
  <c r="H18" i="75"/>
  <c r="H44" i="75" s="1"/>
  <c r="H46" i="75" s="1"/>
  <c r="F46" i="75"/>
  <c r="D21" i="71"/>
  <c r="D18" i="69"/>
  <c r="D18" i="34"/>
  <c r="D19" i="17"/>
  <c r="D18" i="39"/>
  <c r="D19" i="11"/>
  <c r="D20" i="21"/>
  <c r="D21" i="73"/>
  <c r="D18" i="30"/>
  <c r="D19" i="16"/>
  <c r="D18" i="5"/>
  <c r="D17" i="22"/>
  <c r="D19" i="71"/>
  <c r="D19" i="73"/>
  <c r="D19" i="69"/>
  <c r="D17" i="40"/>
  <c r="D17" i="71"/>
  <c r="D17" i="5"/>
  <c r="D18" i="11"/>
  <c r="D17" i="73"/>
  <c r="D18" i="17"/>
  <c r="D18" i="19"/>
  <c r="D17" i="69"/>
  <c r="D18" i="16"/>
  <c r="D18" i="7"/>
  <c r="D17" i="39"/>
  <c r="D17" i="15"/>
  <c r="B42" i="73"/>
  <c r="B42" i="7"/>
  <c r="B42" i="24"/>
  <c r="B40" i="40"/>
  <c r="B41" i="15"/>
  <c r="B47" i="9"/>
  <c r="B43" i="25"/>
  <c r="B46" i="71"/>
  <c r="B45" i="17"/>
  <c r="B46" i="22"/>
  <c r="B47" i="30"/>
  <c r="B47" i="21"/>
  <c r="B44" i="39"/>
  <c r="B44" i="19"/>
  <c r="B44" i="69"/>
  <c r="B44" i="5"/>
  <c r="B49" i="18"/>
  <c r="B50" i="3"/>
  <c r="B45" i="16"/>
  <c r="B45" i="11"/>
  <c r="B47" i="23"/>
  <c r="E20" i="27" l="1"/>
  <c r="H20" i="27" s="1"/>
  <c r="F60" i="75"/>
  <c r="E128" i="68"/>
  <c r="F47" i="75"/>
  <c r="E129" i="68"/>
  <c r="E127" i="68"/>
  <c r="E125" i="68"/>
  <c r="E126" i="68"/>
  <c r="G20" i="27"/>
  <c r="J20" i="27" s="1"/>
  <c r="Q20" i="27" s="1"/>
  <c r="H47" i="75"/>
  <c r="H60" i="75"/>
  <c r="F127" i="68"/>
  <c r="F129" i="68"/>
  <c r="F126" i="68"/>
  <c r="G60" i="75"/>
  <c r="F125" i="68"/>
  <c r="G47" i="75"/>
  <c r="F20" i="27"/>
  <c r="I20" i="27" s="1"/>
  <c r="P20" i="27" s="1"/>
  <c r="F128" i="68"/>
  <c r="B46" i="34"/>
  <c r="H127" i="68" l="1"/>
  <c r="H128" i="68"/>
  <c r="H126" i="68"/>
  <c r="G61" i="75"/>
  <c r="G63" i="75" s="1"/>
  <c r="H129" i="68"/>
  <c r="L20" i="27"/>
  <c r="H125" i="68"/>
  <c r="I126" i="68"/>
  <c r="H61" i="75"/>
  <c r="H63" i="75" s="1"/>
  <c r="I125" i="68"/>
  <c r="M20" i="27"/>
  <c r="I129" i="68"/>
  <c r="I127" i="68"/>
  <c r="I128" i="68"/>
  <c r="G125" i="68"/>
  <c r="G126" i="68"/>
  <c r="G128" i="68"/>
  <c r="F61" i="75"/>
  <c r="F63" i="75" s="1"/>
  <c r="K20" i="27"/>
  <c r="G129" i="68"/>
  <c r="G127" i="68"/>
  <c r="G24" i="66"/>
  <c r="I24" i="66" s="1"/>
  <c r="O20" i="27"/>
  <c r="H24" i="66" s="1"/>
  <c r="P10" i="66"/>
  <c r="R20" i="27" l="1"/>
  <c r="W20" i="27"/>
  <c r="Y20" i="27"/>
  <c r="T20" i="27"/>
  <c r="S20" i="27"/>
  <c r="X20" i="27"/>
  <c r="F12" i="66"/>
  <c r="F15" i="66"/>
  <c r="F19" i="66"/>
  <c r="F20" i="66"/>
  <c r="F23" i="66"/>
  <c r="F25" i="66"/>
  <c r="C31" i="66"/>
  <c r="F11" i="66" l="1"/>
  <c r="F26" i="66"/>
  <c r="F16" i="66"/>
  <c r="F21" i="66"/>
  <c r="F13" i="66"/>
  <c r="F18" i="66"/>
  <c r="F17" i="66"/>
  <c r="F22" i="66"/>
  <c r="F14" i="66"/>
  <c r="N29" i="27"/>
  <c r="N28" i="27"/>
  <c r="N27" i="27"/>
  <c r="N26" i="27"/>
  <c r="N25" i="27"/>
  <c r="N24" i="27"/>
  <c r="N23" i="27"/>
  <c r="N22" i="27"/>
  <c r="N21" i="27"/>
  <c r="N19" i="27"/>
  <c r="N18" i="27"/>
  <c r="N17" i="27"/>
  <c r="N16" i="27"/>
  <c r="N15" i="27"/>
  <c r="N14" i="27"/>
  <c r="N13" i="27"/>
  <c r="N12" i="27"/>
  <c r="N11" i="27"/>
  <c r="N10" i="27"/>
  <c r="N9" i="27"/>
  <c r="N8" i="27"/>
  <c r="N7" i="27"/>
  <c r="Q27" i="27" l="1"/>
  <c r="O27" i="27"/>
  <c r="P27" i="27"/>
  <c r="Q28" i="27"/>
  <c r="P28" i="27"/>
  <c r="O28" i="27"/>
  <c r="O29" i="27"/>
  <c r="P29" i="27"/>
  <c r="Q29" i="27"/>
  <c r="P23" i="27"/>
  <c r="Q23" i="27"/>
  <c r="O23" i="27"/>
  <c r="O24" i="27"/>
  <c r="P24" i="27"/>
  <c r="Q24" i="27"/>
  <c r="Q25" i="27"/>
  <c r="O25" i="27"/>
  <c r="P25" i="27"/>
  <c r="O26" i="27"/>
  <c r="P26" i="27"/>
  <c r="Q26" i="27"/>
  <c r="V26" i="27"/>
  <c r="U26" i="27"/>
  <c r="V16" i="27"/>
  <c r="U16" i="27"/>
  <c r="V14" i="27"/>
  <c r="D147" i="68"/>
  <c r="I147" i="68" s="1"/>
  <c r="C147" i="68"/>
  <c r="B147" i="68"/>
  <c r="D146" i="68"/>
  <c r="I146" i="68" s="1"/>
  <c r="C146" i="68"/>
  <c r="B146" i="68"/>
  <c r="D145" i="68"/>
  <c r="I145" i="68" s="1"/>
  <c r="C145" i="68"/>
  <c r="B145" i="68"/>
  <c r="D144" i="68"/>
  <c r="I144" i="68" s="1"/>
  <c r="C144" i="68"/>
  <c r="B144" i="68"/>
  <c r="D143" i="68"/>
  <c r="I143" i="68" s="1"/>
  <c r="C143" i="68"/>
  <c r="B143" i="68"/>
  <c r="D64" i="68"/>
  <c r="C64" i="68"/>
  <c r="B64" i="68"/>
  <c r="D138" i="68"/>
  <c r="C138" i="68"/>
  <c r="B138" i="68"/>
  <c r="D137" i="68"/>
  <c r="C137" i="68"/>
  <c r="B137" i="68"/>
  <c r="D136" i="68"/>
  <c r="C136" i="68"/>
  <c r="B136" i="68"/>
  <c r="D135" i="68"/>
  <c r="C135" i="68"/>
  <c r="B135" i="68"/>
  <c r="D134" i="68"/>
  <c r="C134" i="68"/>
  <c r="B134" i="68"/>
  <c r="D120" i="68"/>
  <c r="C120" i="68"/>
  <c r="B120" i="68"/>
  <c r="D119" i="68"/>
  <c r="C119" i="68"/>
  <c r="B119" i="68"/>
  <c r="D118" i="68"/>
  <c r="C118" i="68"/>
  <c r="B118" i="68"/>
  <c r="D117" i="68"/>
  <c r="C117" i="68"/>
  <c r="B117" i="68"/>
  <c r="D116" i="68"/>
  <c r="C116" i="68"/>
  <c r="B116" i="68"/>
  <c r="D111" i="68"/>
  <c r="C111" i="68"/>
  <c r="B111" i="68"/>
  <c r="D110" i="68"/>
  <c r="C110" i="68"/>
  <c r="B110" i="68"/>
  <c r="D109" i="68"/>
  <c r="C109" i="68"/>
  <c r="B109" i="68"/>
  <c r="D108" i="68"/>
  <c r="C108" i="68"/>
  <c r="B108" i="68"/>
  <c r="D107" i="68"/>
  <c r="C107" i="68"/>
  <c r="B107" i="68"/>
  <c r="D102" i="68"/>
  <c r="C102" i="68"/>
  <c r="B102" i="68"/>
  <c r="D101" i="68"/>
  <c r="C101" i="68"/>
  <c r="B101" i="68"/>
  <c r="D100" i="68"/>
  <c r="C100" i="68"/>
  <c r="B100" i="68"/>
  <c r="D99" i="68"/>
  <c r="C99" i="68"/>
  <c r="B99" i="68"/>
  <c r="D98" i="68"/>
  <c r="C98" i="68"/>
  <c r="B98" i="68"/>
  <c r="D84" i="68"/>
  <c r="C84" i="68"/>
  <c r="B84" i="68"/>
  <c r="D83" i="68"/>
  <c r="C83" i="68"/>
  <c r="B83" i="68"/>
  <c r="D82" i="68"/>
  <c r="C82" i="68"/>
  <c r="B82" i="68"/>
  <c r="D81" i="68"/>
  <c r="C81" i="68"/>
  <c r="B81" i="68"/>
  <c r="D80" i="68"/>
  <c r="C80" i="68"/>
  <c r="B80" i="68"/>
  <c r="D75" i="68"/>
  <c r="C75" i="68"/>
  <c r="B75" i="68"/>
  <c r="D74" i="68"/>
  <c r="C74" i="68"/>
  <c r="B74" i="68"/>
  <c r="D73" i="68"/>
  <c r="C73" i="68"/>
  <c r="B73" i="68"/>
  <c r="D72" i="68"/>
  <c r="C72" i="68"/>
  <c r="B72" i="68"/>
  <c r="D71" i="68"/>
  <c r="C71" i="68"/>
  <c r="B71" i="68"/>
  <c r="D66" i="68"/>
  <c r="C66" i="68"/>
  <c r="B66" i="68"/>
  <c r="D65" i="68"/>
  <c r="C65" i="68"/>
  <c r="B65" i="68"/>
  <c r="D63" i="68"/>
  <c r="C63" i="68"/>
  <c r="B63" i="68"/>
  <c r="D62" i="68"/>
  <c r="C62" i="68"/>
  <c r="B62" i="68"/>
  <c r="D57" i="68"/>
  <c r="C57" i="68"/>
  <c r="B57" i="68"/>
  <c r="D56" i="68"/>
  <c r="C56" i="68"/>
  <c r="B56" i="68"/>
  <c r="D55" i="68"/>
  <c r="C55" i="68"/>
  <c r="B55" i="68"/>
  <c r="D54" i="68"/>
  <c r="C54" i="68"/>
  <c r="B54" i="68"/>
  <c r="D53" i="68"/>
  <c r="C53" i="68"/>
  <c r="B53" i="68"/>
  <c r="D39" i="68"/>
  <c r="C39" i="68"/>
  <c r="B39" i="68"/>
  <c r="D38" i="68"/>
  <c r="C38" i="68"/>
  <c r="B38" i="68"/>
  <c r="D37" i="68"/>
  <c r="C37" i="68"/>
  <c r="B37" i="68"/>
  <c r="D36" i="68"/>
  <c r="C36" i="68"/>
  <c r="B36" i="68"/>
  <c r="D35" i="68"/>
  <c r="C35" i="68"/>
  <c r="B35" i="68"/>
  <c r="D30" i="68"/>
  <c r="C30" i="68"/>
  <c r="B30" i="68"/>
  <c r="D29" i="68"/>
  <c r="C29" i="68"/>
  <c r="B29" i="68"/>
  <c r="D28" i="68"/>
  <c r="C28" i="68"/>
  <c r="B28" i="68"/>
  <c r="D27" i="68"/>
  <c r="C27" i="68"/>
  <c r="B27" i="68"/>
  <c r="D26" i="68"/>
  <c r="C26" i="68"/>
  <c r="B26" i="68"/>
  <c r="D21" i="68"/>
  <c r="C21" i="68"/>
  <c r="B21" i="68"/>
  <c r="D20" i="68"/>
  <c r="C20" i="68"/>
  <c r="B20" i="68"/>
  <c r="D19" i="68"/>
  <c r="C19" i="68"/>
  <c r="B19" i="68"/>
  <c r="D18" i="68"/>
  <c r="C18" i="68"/>
  <c r="B18" i="68"/>
  <c r="D17" i="68"/>
  <c r="C17" i="68"/>
  <c r="B17" i="68"/>
  <c r="B10" i="9"/>
  <c r="D12" i="68"/>
  <c r="C12" i="68"/>
  <c r="B12" i="68"/>
  <c r="D11" i="68"/>
  <c r="C11" i="68"/>
  <c r="B11" i="68"/>
  <c r="D10" i="68"/>
  <c r="C10" i="68"/>
  <c r="B10" i="68"/>
  <c r="D9" i="68"/>
  <c r="C9" i="68"/>
  <c r="B9" i="68"/>
  <c r="D8" i="68"/>
  <c r="C8" i="68"/>
  <c r="B8" i="68"/>
  <c r="E146" i="68" l="1"/>
  <c r="H146" i="68"/>
  <c r="F146" i="68"/>
  <c r="G146" i="68"/>
  <c r="H144" i="68"/>
  <c r="F144" i="68"/>
  <c r="E144" i="68"/>
  <c r="G144" i="68"/>
  <c r="G147" i="68"/>
  <c r="F147" i="68"/>
  <c r="E147" i="68"/>
  <c r="H147" i="68"/>
  <c r="E145" i="68"/>
  <c r="H145" i="68"/>
  <c r="F145" i="68"/>
  <c r="G145" i="68"/>
  <c r="F143" i="68"/>
  <c r="G143" i="68"/>
  <c r="E143" i="68"/>
  <c r="H143" i="68"/>
  <c r="D48" i="68"/>
  <c r="C48" i="68"/>
  <c r="B48" i="68"/>
  <c r="D47" i="68"/>
  <c r="C47" i="68"/>
  <c r="B47" i="68"/>
  <c r="D46" i="68"/>
  <c r="C46" i="68"/>
  <c r="B46" i="68"/>
  <c r="D45" i="68"/>
  <c r="C45" i="68"/>
  <c r="B45" i="68"/>
  <c r="D44" i="68"/>
  <c r="C44" i="68"/>
  <c r="B44" i="68"/>
  <c r="A140" i="68"/>
  <c r="A131" i="68"/>
  <c r="A113" i="68"/>
  <c r="A104" i="68"/>
  <c r="A95" i="68"/>
  <c r="A77" i="68"/>
  <c r="A68" i="68"/>
  <c r="A59" i="68"/>
  <c r="A50" i="68"/>
  <c r="A41" i="68"/>
  <c r="A32" i="68"/>
  <c r="A23" i="68"/>
  <c r="A14" i="68"/>
  <c r="A5" i="68"/>
  <c r="C9" i="73"/>
  <c r="D9" i="73"/>
  <c r="F56" i="73"/>
  <c r="H56" i="73" s="1"/>
  <c r="F55" i="73"/>
  <c r="G55" i="73" s="1"/>
  <c r="F54" i="73"/>
  <c r="H54" i="73" s="1"/>
  <c r="F53" i="73"/>
  <c r="G53" i="73" s="1"/>
  <c r="F52" i="73"/>
  <c r="H52" i="73" s="1"/>
  <c r="F51" i="73"/>
  <c r="H51" i="73" s="1"/>
  <c r="F50" i="73"/>
  <c r="H50" i="73" s="1"/>
  <c r="F49" i="73"/>
  <c r="G49" i="73" s="1"/>
  <c r="F48" i="73"/>
  <c r="G48" i="73" s="1"/>
  <c r="F41" i="73"/>
  <c r="G41" i="73" s="1"/>
  <c r="F40" i="73"/>
  <c r="H40" i="73" s="1"/>
  <c r="F39" i="73"/>
  <c r="G39" i="73" s="1"/>
  <c r="F38" i="73"/>
  <c r="G38" i="73" s="1"/>
  <c r="F37" i="73"/>
  <c r="G37" i="73" s="1"/>
  <c r="D35" i="73"/>
  <c r="F35" i="73" s="1"/>
  <c r="H35" i="73" s="1"/>
  <c r="D34" i="73"/>
  <c r="F34" i="73" s="1"/>
  <c r="G34" i="73" s="1"/>
  <c r="D33" i="73"/>
  <c r="F33" i="73" s="1"/>
  <c r="F32" i="73"/>
  <c r="H32" i="73" s="1"/>
  <c r="F31" i="73"/>
  <c r="H31" i="73" s="1"/>
  <c r="F30" i="73"/>
  <c r="G30" i="73" s="1"/>
  <c r="F29" i="73"/>
  <c r="H29" i="73" s="1"/>
  <c r="F28" i="73"/>
  <c r="G28" i="73" s="1"/>
  <c r="F27" i="73"/>
  <c r="H27" i="73" s="1"/>
  <c r="B26" i="73"/>
  <c r="F26" i="73" s="1"/>
  <c r="F25" i="73"/>
  <c r="G25" i="73" s="1"/>
  <c r="F24" i="73"/>
  <c r="H24" i="73" s="1"/>
  <c r="F23" i="73"/>
  <c r="G23" i="73" s="1"/>
  <c r="F21" i="73"/>
  <c r="F20" i="73"/>
  <c r="F19" i="73"/>
  <c r="F18" i="73"/>
  <c r="F17" i="73"/>
  <c r="F15" i="73"/>
  <c r="H15" i="73" s="1"/>
  <c r="F10" i="73"/>
  <c r="H10" i="73" s="1"/>
  <c r="C10" i="73"/>
  <c r="F18" i="71"/>
  <c r="H18" i="71" s="1"/>
  <c r="F17" i="71"/>
  <c r="B10" i="3"/>
  <c r="H38" i="73" l="1"/>
  <c r="H30" i="73"/>
  <c r="H48" i="73"/>
  <c r="H23" i="73"/>
  <c r="G15" i="73"/>
  <c r="V29" i="27"/>
  <c r="C26" i="73"/>
  <c r="G24" i="73"/>
  <c r="H41" i="73"/>
  <c r="G31" i="73"/>
  <c r="H37" i="73"/>
  <c r="H53" i="73"/>
  <c r="G56" i="73"/>
  <c r="G26" i="73"/>
  <c r="H26" i="73"/>
  <c r="G10" i="73"/>
  <c r="H25" i="73"/>
  <c r="G29" i="73"/>
  <c r="H39" i="73"/>
  <c r="H49" i="73"/>
  <c r="G52" i="73"/>
  <c r="H28" i="73"/>
  <c r="F42" i="73"/>
  <c r="F44" i="73" s="1"/>
  <c r="E29" i="27" s="1"/>
  <c r="H17" i="71"/>
  <c r="F9" i="73"/>
  <c r="H9" i="73" s="1"/>
  <c r="H12" i="73" s="1"/>
  <c r="D29" i="27" s="1"/>
  <c r="U29" i="27"/>
  <c r="G33" i="73"/>
  <c r="H33" i="73"/>
  <c r="G18" i="71"/>
  <c r="H34" i="73"/>
  <c r="H55" i="73"/>
  <c r="G50" i="73"/>
  <c r="H17" i="73"/>
  <c r="G17" i="73"/>
  <c r="H18" i="73"/>
  <c r="G18" i="73"/>
  <c r="H19" i="73"/>
  <c r="G19" i="73"/>
  <c r="H20" i="73"/>
  <c r="G20" i="73"/>
  <c r="H21" i="73"/>
  <c r="G21" i="73"/>
  <c r="G32" i="73"/>
  <c r="G35" i="73"/>
  <c r="G51" i="73"/>
  <c r="G27" i="73"/>
  <c r="G40" i="73"/>
  <c r="G54" i="73"/>
  <c r="F57" i="73"/>
  <c r="G17" i="71"/>
  <c r="W29" i="27" l="1"/>
  <c r="Y29" i="27"/>
  <c r="X29" i="27"/>
  <c r="H57" i="73"/>
  <c r="G57" i="73"/>
  <c r="F12" i="73"/>
  <c r="G9" i="73"/>
  <c r="G12" i="73" s="1"/>
  <c r="C29" i="27" s="1"/>
  <c r="G42" i="73"/>
  <c r="G44" i="73" s="1"/>
  <c r="H42" i="73"/>
  <c r="H44" i="73" s="1"/>
  <c r="F58" i="73"/>
  <c r="F61" i="73" s="1"/>
  <c r="B26" i="71"/>
  <c r="D9" i="71"/>
  <c r="U22" i="27" s="1"/>
  <c r="C10" i="71"/>
  <c r="C9" i="71"/>
  <c r="Y22" i="27" l="1"/>
  <c r="X22" i="27"/>
  <c r="W22" i="27"/>
  <c r="V22" i="27"/>
  <c r="C26" i="71"/>
  <c r="B29" i="27"/>
  <c r="H29" i="27" s="1"/>
  <c r="G33" i="66" s="1"/>
  <c r="F45" i="73"/>
  <c r="G58" i="73"/>
  <c r="F29" i="27"/>
  <c r="I29" i="27" s="1"/>
  <c r="F59" i="73"/>
  <c r="K29" i="27"/>
  <c r="H58" i="73"/>
  <c r="H61" i="73" s="1"/>
  <c r="G29" i="27"/>
  <c r="J29" i="27" s="1"/>
  <c r="H45" i="73"/>
  <c r="G45" i="73"/>
  <c r="F60" i="71"/>
  <c r="H60" i="71" s="1"/>
  <c r="F59" i="71"/>
  <c r="H59" i="71" s="1"/>
  <c r="F58" i="71"/>
  <c r="H58" i="71" s="1"/>
  <c r="F57" i="71"/>
  <c r="H57" i="71" s="1"/>
  <c r="F56" i="71"/>
  <c r="H56" i="71" s="1"/>
  <c r="F55" i="71"/>
  <c r="H55" i="71" s="1"/>
  <c r="F54" i="71"/>
  <c r="G54" i="71" s="1"/>
  <c r="F53" i="71"/>
  <c r="H53" i="71" s="1"/>
  <c r="F52" i="71"/>
  <c r="H52" i="71" s="1"/>
  <c r="F45" i="71"/>
  <c r="H45" i="71" s="1"/>
  <c r="F44" i="71"/>
  <c r="H44" i="71" s="1"/>
  <c r="F43" i="71"/>
  <c r="F42" i="71"/>
  <c r="H42" i="71" s="1"/>
  <c r="F41" i="71"/>
  <c r="G41" i="71" s="1"/>
  <c r="F37" i="71"/>
  <c r="D36" i="71"/>
  <c r="F36" i="71" s="1"/>
  <c r="D35" i="71"/>
  <c r="F35" i="71" s="1"/>
  <c r="D34" i="71"/>
  <c r="F34" i="71" s="1"/>
  <c r="D33" i="71"/>
  <c r="F33" i="71" s="1"/>
  <c r="F32" i="71"/>
  <c r="G32" i="71" s="1"/>
  <c r="F31" i="71"/>
  <c r="H31" i="71" s="1"/>
  <c r="F30" i="71"/>
  <c r="H30" i="71" s="1"/>
  <c r="F29" i="71"/>
  <c r="H29" i="71" s="1"/>
  <c r="F28" i="71"/>
  <c r="G28" i="71" s="1"/>
  <c r="F27" i="71"/>
  <c r="H27" i="71" s="1"/>
  <c r="F26" i="71"/>
  <c r="F25" i="71"/>
  <c r="H25" i="71" s="1"/>
  <c r="F24" i="71"/>
  <c r="H24" i="71" s="1"/>
  <c r="F23" i="71"/>
  <c r="H23" i="71" s="1"/>
  <c r="F21" i="71"/>
  <c r="F20" i="71"/>
  <c r="F19" i="71"/>
  <c r="F15" i="71"/>
  <c r="H15" i="71" s="1"/>
  <c r="F10" i="71"/>
  <c r="H10" i="71" s="1"/>
  <c r="F9" i="71"/>
  <c r="P24" i="66" l="1"/>
  <c r="W24" i="66" s="1"/>
  <c r="G57" i="71"/>
  <c r="P20" i="66"/>
  <c r="P23" i="66"/>
  <c r="P25" i="66"/>
  <c r="P12" i="66"/>
  <c r="P19" i="66"/>
  <c r="P15" i="66"/>
  <c r="P22" i="66"/>
  <c r="P21" i="66"/>
  <c r="P17" i="66"/>
  <c r="P13" i="66"/>
  <c r="P14" i="66"/>
  <c r="P18" i="66"/>
  <c r="P16" i="66"/>
  <c r="P26" i="66"/>
  <c r="F46" i="71"/>
  <c r="F48" i="71" s="1"/>
  <c r="H59" i="73"/>
  <c r="M29" i="27"/>
  <c r="R29" i="27"/>
  <c r="P11" i="66"/>
  <c r="G59" i="73"/>
  <c r="G61" i="73" s="1"/>
  <c r="L29" i="27"/>
  <c r="H54" i="71"/>
  <c r="H61" i="71" s="1"/>
  <c r="H41" i="71"/>
  <c r="G27" i="71"/>
  <c r="H32" i="71"/>
  <c r="G9" i="71"/>
  <c r="H9" i="71"/>
  <c r="H12" i="71" s="1"/>
  <c r="D22" i="27" s="1"/>
  <c r="F12" i="71"/>
  <c r="B22" i="27" s="1"/>
  <c r="H37" i="71"/>
  <c r="G37" i="71"/>
  <c r="H26" i="71"/>
  <c r="G26" i="71"/>
  <c r="G19" i="71"/>
  <c r="H19" i="71"/>
  <c r="H20" i="71"/>
  <c r="G20" i="71"/>
  <c r="H33" i="71"/>
  <c r="G33" i="71"/>
  <c r="H43" i="71"/>
  <c r="G43" i="71"/>
  <c r="H21" i="71"/>
  <c r="G21" i="71"/>
  <c r="H34" i="71"/>
  <c r="G34" i="71"/>
  <c r="H35" i="71"/>
  <c r="G35" i="71"/>
  <c r="H36" i="71"/>
  <c r="G36" i="71"/>
  <c r="G25" i="71"/>
  <c r="G30" i="71"/>
  <c r="G55" i="71"/>
  <c r="G58" i="71"/>
  <c r="F61" i="71"/>
  <c r="G15" i="71"/>
  <c r="H28" i="71"/>
  <c r="G31" i="71"/>
  <c r="G45" i="71"/>
  <c r="G53" i="71"/>
  <c r="G56" i="71"/>
  <c r="G10" i="71"/>
  <c r="G24" i="71"/>
  <c r="G29" i="71"/>
  <c r="G59" i="71"/>
  <c r="G44" i="71"/>
  <c r="G52" i="71"/>
  <c r="G60" i="71"/>
  <c r="G42" i="71"/>
  <c r="G23" i="71"/>
  <c r="G12" i="71" l="1"/>
  <c r="C22" i="27" s="1"/>
  <c r="G46" i="71"/>
  <c r="G48" i="71" s="1"/>
  <c r="H46" i="71"/>
  <c r="H48" i="71" s="1"/>
  <c r="G22" i="27" s="1"/>
  <c r="J22" i="27" s="1"/>
  <c r="Q22" i="27" s="1"/>
  <c r="S29" i="27"/>
  <c r="T29" i="27"/>
  <c r="E22" i="27"/>
  <c r="H22" i="27" s="1"/>
  <c r="O22" i="27" s="1"/>
  <c r="F62" i="71"/>
  <c r="G61" i="71"/>
  <c r="F49" i="71"/>
  <c r="B41" i="39"/>
  <c r="B44" i="23"/>
  <c r="B44" i="30"/>
  <c r="B43" i="22"/>
  <c r="B43" i="34"/>
  <c r="B44" i="21"/>
  <c r="B42" i="17"/>
  <c r="B41" i="19"/>
  <c r="B42" i="16"/>
  <c r="B46" i="18"/>
  <c r="B29" i="3"/>
  <c r="D9" i="69"/>
  <c r="U14" i="27" s="1"/>
  <c r="F65" i="71" l="1"/>
  <c r="G26" i="66"/>
  <c r="H26" i="66"/>
  <c r="F63" i="71"/>
  <c r="K22" i="27"/>
  <c r="F22" i="27"/>
  <c r="I22" i="27" s="1"/>
  <c r="P22" i="27" s="1"/>
  <c r="H62" i="71"/>
  <c r="H49" i="71"/>
  <c r="G62" i="71"/>
  <c r="G49" i="71"/>
  <c r="F58" i="69"/>
  <c r="G58" i="69" s="1"/>
  <c r="F57" i="69"/>
  <c r="H57" i="69" s="1"/>
  <c r="F56" i="69"/>
  <c r="H56" i="69" s="1"/>
  <c r="F55" i="69"/>
  <c r="G55" i="69" s="1"/>
  <c r="F54" i="69"/>
  <c r="H54" i="69" s="1"/>
  <c r="F53" i="69"/>
  <c r="H53" i="69" s="1"/>
  <c r="F52" i="69"/>
  <c r="H52" i="69" s="1"/>
  <c r="F51" i="69"/>
  <c r="H51" i="69" s="1"/>
  <c r="F50" i="69"/>
  <c r="H50" i="69" s="1"/>
  <c r="F43" i="69"/>
  <c r="H43" i="69" s="1"/>
  <c r="F42" i="69"/>
  <c r="H42" i="69" s="1"/>
  <c r="F41" i="69"/>
  <c r="H41" i="69" s="1"/>
  <c r="F40" i="69"/>
  <c r="H40" i="69" s="1"/>
  <c r="F39" i="69"/>
  <c r="G39" i="69" s="1"/>
  <c r="D35" i="69"/>
  <c r="F35" i="69" s="1"/>
  <c r="D34" i="69"/>
  <c r="F34" i="69" s="1"/>
  <c r="D33" i="69"/>
  <c r="F33" i="69" s="1"/>
  <c r="D32" i="69"/>
  <c r="F32" i="69" s="1"/>
  <c r="D31" i="69"/>
  <c r="F30" i="69"/>
  <c r="G30" i="69" s="1"/>
  <c r="F29" i="69"/>
  <c r="H29" i="69" s="1"/>
  <c r="F28" i="69"/>
  <c r="F27" i="69"/>
  <c r="H27" i="69" s="1"/>
  <c r="F26" i="69"/>
  <c r="H26" i="69" s="1"/>
  <c r="F25" i="69"/>
  <c r="G25" i="69" s="1"/>
  <c r="B24" i="69"/>
  <c r="F24" i="69" s="1"/>
  <c r="F23" i="69"/>
  <c r="F22" i="69"/>
  <c r="H22" i="69" s="1"/>
  <c r="F21" i="69"/>
  <c r="H21" i="69" s="1"/>
  <c r="F19" i="69"/>
  <c r="H19" i="69" s="1"/>
  <c r="F18" i="69"/>
  <c r="F17" i="69"/>
  <c r="F15" i="69"/>
  <c r="H15" i="69" s="1"/>
  <c r="F9" i="69"/>
  <c r="F12" i="69" s="1"/>
  <c r="H39" i="69" l="1"/>
  <c r="G42" i="69"/>
  <c r="G50" i="69"/>
  <c r="H30" i="69"/>
  <c r="H58" i="69"/>
  <c r="H59" i="69" s="1"/>
  <c r="I26" i="66"/>
  <c r="W26" i="66" s="1"/>
  <c r="H25" i="69"/>
  <c r="F31" i="69"/>
  <c r="F46" i="69" s="1"/>
  <c r="H55" i="69"/>
  <c r="H63" i="71"/>
  <c r="H65" i="71" s="1"/>
  <c r="M22" i="27"/>
  <c r="G63" i="71"/>
  <c r="G65" i="71" s="1"/>
  <c r="L22" i="27"/>
  <c r="R22" i="27"/>
  <c r="H18" i="69"/>
  <c r="G18" i="69"/>
  <c r="H9" i="69"/>
  <c r="G9" i="69"/>
  <c r="G12" i="69" s="1"/>
  <c r="G19" i="69"/>
  <c r="H32" i="69"/>
  <c r="G32" i="69"/>
  <c r="H33" i="69"/>
  <c r="G33" i="69"/>
  <c r="B14" i="27"/>
  <c r="H28" i="69"/>
  <c r="G28" i="69"/>
  <c r="H34" i="69"/>
  <c r="G34" i="69"/>
  <c r="H23" i="69"/>
  <c r="G23" i="69"/>
  <c r="H35" i="69"/>
  <c r="G35" i="69"/>
  <c r="H17" i="69"/>
  <c r="H24" i="69"/>
  <c r="G24" i="69"/>
  <c r="G17" i="69"/>
  <c r="G53" i="69"/>
  <c r="G40" i="69"/>
  <c r="G56" i="69"/>
  <c r="F59" i="69"/>
  <c r="G21" i="69"/>
  <c r="G26" i="69"/>
  <c r="G43" i="69"/>
  <c r="G51" i="69"/>
  <c r="G15" i="69"/>
  <c r="G29" i="69"/>
  <c r="G54" i="69"/>
  <c r="G41" i="69"/>
  <c r="G57" i="69"/>
  <c r="G22" i="69"/>
  <c r="G27" i="69"/>
  <c r="G52" i="69"/>
  <c r="B30" i="9"/>
  <c r="F29" i="3"/>
  <c r="D9" i="23"/>
  <c r="F9" i="23" s="1"/>
  <c r="H9" i="23" s="1"/>
  <c r="H12" i="23" s="1"/>
  <c r="D8" i="27" s="1"/>
  <c r="F19" i="23"/>
  <c r="F20" i="23"/>
  <c r="G20" i="23" s="1"/>
  <c r="D34" i="23"/>
  <c r="D35" i="23"/>
  <c r="F35" i="23" s="1"/>
  <c r="H35" i="23" s="1"/>
  <c r="D36" i="23"/>
  <c r="F36" i="23" s="1"/>
  <c r="G36" i="23" s="1"/>
  <c r="D37" i="23"/>
  <c r="F37" i="23" s="1"/>
  <c r="D38" i="23"/>
  <c r="F38" i="23" s="1"/>
  <c r="G38" i="23" s="1"/>
  <c r="F9" i="30"/>
  <c r="F13" i="30" s="1"/>
  <c r="B18" i="27" s="1"/>
  <c r="F18" i="30"/>
  <c r="F19" i="30"/>
  <c r="H19" i="30" s="1"/>
  <c r="D34" i="30"/>
  <c r="D35" i="30"/>
  <c r="F35" i="30" s="1"/>
  <c r="D36" i="30"/>
  <c r="F36" i="30" s="1"/>
  <c r="D37" i="30"/>
  <c r="F37" i="30" s="1"/>
  <c r="D38" i="30"/>
  <c r="F38" i="30" s="1"/>
  <c r="D9" i="22"/>
  <c r="F9" i="22" s="1"/>
  <c r="F17" i="22"/>
  <c r="F18" i="22"/>
  <c r="H18" i="22" s="1"/>
  <c r="D33" i="22"/>
  <c r="D34" i="22"/>
  <c r="F34" i="22" s="1"/>
  <c r="H34" i="22" s="1"/>
  <c r="D35" i="22"/>
  <c r="F35" i="22" s="1"/>
  <c r="D36" i="22"/>
  <c r="F36" i="22" s="1"/>
  <c r="D37" i="22"/>
  <c r="F37" i="22" s="1"/>
  <c r="H37" i="22" s="1"/>
  <c r="D9" i="34"/>
  <c r="F9" i="34" s="1"/>
  <c r="F18" i="34"/>
  <c r="D33" i="34"/>
  <c r="F33" i="34" s="1"/>
  <c r="D34" i="34"/>
  <c r="F34" i="34" s="1"/>
  <c r="D35" i="34"/>
  <c r="F35" i="34" s="1"/>
  <c r="D36" i="34"/>
  <c r="F36" i="34" s="1"/>
  <c r="D37" i="34"/>
  <c r="F37" i="34" s="1"/>
  <c r="D9" i="21"/>
  <c r="F9" i="21" s="1"/>
  <c r="F12" i="21" s="1"/>
  <c r="F20" i="21"/>
  <c r="D34" i="21"/>
  <c r="D35" i="21"/>
  <c r="F35" i="21" s="1"/>
  <c r="H35" i="21" s="1"/>
  <c r="D36" i="21"/>
  <c r="F36" i="21" s="1"/>
  <c r="D37" i="21"/>
  <c r="F37" i="21" s="1"/>
  <c r="H37" i="21" s="1"/>
  <c r="D38" i="21"/>
  <c r="F38" i="21" s="1"/>
  <c r="G38" i="21" s="1"/>
  <c r="D9" i="17"/>
  <c r="F18" i="17"/>
  <c r="F19" i="17"/>
  <c r="F20" i="17"/>
  <c r="H20" i="17" s="1"/>
  <c r="D32" i="17"/>
  <c r="D33" i="17"/>
  <c r="F33" i="17" s="1"/>
  <c r="G33" i="17" s="1"/>
  <c r="D34" i="17"/>
  <c r="F34" i="17" s="1"/>
  <c r="H34" i="17" s="1"/>
  <c r="D35" i="17"/>
  <c r="F35" i="17" s="1"/>
  <c r="G35" i="17" s="1"/>
  <c r="D36" i="17"/>
  <c r="F36" i="17" s="1"/>
  <c r="G36" i="17" s="1"/>
  <c r="F17" i="39"/>
  <c r="F18" i="39"/>
  <c r="H18" i="39" s="1"/>
  <c r="D31" i="39"/>
  <c r="D32" i="39"/>
  <c r="F32" i="39" s="1"/>
  <c r="H32" i="39" s="1"/>
  <c r="D33" i="39"/>
  <c r="F33" i="39" s="1"/>
  <c r="D34" i="39"/>
  <c r="F34" i="39" s="1"/>
  <c r="D35" i="39"/>
  <c r="F35" i="39" s="1"/>
  <c r="D9" i="19"/>
  <c r="F9" i="19" s="1"/>
  <c r="F12" i="19" s="1"/>
  <c r="F17" i="19"/>
  <c r="F18" i="19"/>
  <c r="D31" i="19"/>
  <c r="D32" i="19"/>
  <c r="F32" i="19" s="1"/>
  <c r="D33" i="19"/>
  <c r="F33" i="19" s="1"/>
  <c r="G33" i="19" s="1"/>
  <c r="D34" i="19"/>
  <c r="F34" i="19" s="1"/>
  <c r="H34" i="19" s="1"/>
  <c r="D35" i="19"/>
  <c r="F35" i="19" s="1"/>
  <c r="H35" i="19" s="1"/>
  <c r="D9" i="5"/>
  <c r="F17" i="5"/>
  <c r="F18" i="5"/>
  <c r="G18" i="5" s="1"/>
  <c r="F19" i="5"/>
  <c r="G19" i="5" s="1"/>
  <c r="D31" i="5"/>
  <c r="D32" i="5"/>
  <c r="F32" i="5" s="1"/>
  <c r="D33" i="5"/>
  <c r="F33" i="5" s="1"/>
  <c r="H33" i="5" s="1"/>
  <c r="D34" i="5"/>
  <c r="F34" i="5" s="1"/>
  <c r="G34" i="5" s="1"/>
  <c r="D35" i="5"/>
  <c r="F35" i="5" s="1"/>
  <c r="H35" i="5" s="1"/>
  <c r="D9" i="16"/>
  <c r="F9" i="16" s="1"/>
  <c r="F18" i="16"/>
  <c r="F19" i="16"/>
  <c r="F20" i="16"/>
  <c r="H20" i="16" s="1"/>
  <c r="D32" i="16"/>
  <c r="D33" i="16"/>
  <c r="F33" i="16" s="1"/>
  <c r="H33" i="16" s="1"/>
  <c r="D34" i="16"/>
  <c r="F34" i="16" s="1"/>
  <c r="D35" i="16"/>
  <c r="F35" i="16" s="1"/>
  <c r="D36" i="16"/>
  <c r="F36" i="16" s="1"/>
  <c r="D9" i="11"/>
  <c r="F9" i="11" s="1"/>
  <c r="F18" i="11"/>
  <c r="F19" i="11"/>
  <c r="F20" i="11"/>
  <c r="H20" i="11" s="1"/>
  <c r="D32" i="11"/>
  <c r="D33" i="11"/>
  <c r="F33" i="11" s="1"/>
  <c r="H33" i="11" s="1"/>
  <c r="D34" i="11"/>
  <c r="F34" i="11" s="1"/>
  <c r="G34" i="11" s="1"/>
  <c r="D35" i="11"/>
  <c r="F35" i="11" s="1"/>
  <c r="D9" i="18"/>
  <c r="F19" i="18"/>
  <c r="F20" i="18"/>
  <c r="D36" i="18"/>
  <c r="D37" i="18"/>
  <c r="F37" i="18" s="1"/>
  <c r="D38" i="18"/>
  <c r="F38" i="18" s="1"/>
  <c r="H38" i="18" s="1"/>
  <c r="D39" i="18"/>
  <c r="F39" i="18" s="1"/>
  <c r="H39" i="18" s="1"/>
  <c r="D40" i="18"/>
  <c r="F40" i="18" s="1"/>
  <c r="D9" i="3"/>
  <c r="F9" i="3" s="1"/>
  <c r="D10" i="3"/>
  <c r="F10" i="3" s="1"/>
  <c r="F20" i="3"/>
  <c r="F21" i="3"/>
  <c r="D30" i="3"/>
  <c r="D37" i="3"/>
  <c r="D38" i="3"/>
  <c r="F38" i="3" s="1"/>
  <c r="D39" i="3"/>
  <c r="F39" i="3" s="1"/>
  <c r="G39" i="3" s="1"/>
  <c r="D40" i="3"/>
  <c r="F40" i="3" s="1"/>
  <c r="H40" i="3" s="1"/>
  <c r="D41" i="3"/>
  <c r="F41" i="3" s="1"/>
  <c r="H41" i="3" s="1"/>
  <c r="B25" i="11"/>
  <c r="F25" i="11" s="1"/>
  <c r="G25" i="11" s="1"/>
  <c r="F17" i="40"/>
  <c r="D31" i="40"/>
  <c r="D32" i="40"/>
  <c r="F32" i="40" s="1"/>
  <c r="D33" i="40"/>
  <c r="F33" i="40" s="1"/>
  <c r="D9" i="25"/>
  <c r="U23" i="27" s="1"/>
  <c r="F19" i="25"/>
  <c r="D34" i="25"/>
  <c r="D35" i="25"/>
  <c r="F35" i="25" s="1"/>
  <c r="H35" i="25" s="1"/>
  <c r="D36" i="25"/>
  <c r="F36" i="25" s="1"/>
  <c r="G36" i="25" s="1"/>
  <c r="D9" i="24"/>
  <c r="U27" i="27" s="1"/>
  <c r="F17" i="24"/>
  <c r="D33" i="24"/>
  <c r="D34" i="24"/>
  <c r="F34" i="24" s="1"/>
  <c r="H34" i="24" s="1"/>
  <c r="D35" i="24"/>
  <c r="F35" i="24" s="1"/>
  <c r="D9" i="7"/>
  <c r="F9" i="7" s="1"/>
  <c r="F18" i="7"/>
  <c r="D33" i="7"/>
  <c r="D34" i="7"/>
  <c r="F34" i="7" s="1"/>
  <c r="G34" i="7" s="1"/>
  <c r="D35" i="7"/>
  <c r="F35" i="7" s="1"/>
  <c r="D9" i="15"/>
  <c r="F9" i="15" s="1"/>
  <c r="F12" i="15" s="1"/>
  <c r="B25" i="27" s="1"/>
  <c r="F17" i="15"/>
  <c r="D32" i="15"/>
  <c r="D33" i="15"/>
  <c r="F33" i="15" s="1"/>
  <c r="D34" i="15"/>
  <c r="F34" i="15" s="1"/>
  <c r="G34" i="15" s="1"/>
  <c r="D9" i="9"/>
  <c r="F9" i="9" s="1"/>
  <c r="D10" i="9"/>
  <c r="F20" i="9"/>
  <c r="F21" i="9"/>
  <c r="G21" i="9" s="1"/>
  <c r="D30" i="9"/>
  <c r="D31" i="9"/>
  <c r="D38" i="9"/>
  <c r="D39" i="9"/>
  <c r="F39" i="9" s="1"/>
  <c r="H39" i="9" s="1"/>
  <c r="D40" i="9"/>
  <c r="F40" i="9" s="1"/>
  <c r="A16" i="66"/>
  <c r="A20" i="66"/>
  <c r="A21" i="66"/>
  <c r="A11" i="66"/>
  <c r="A23" i="66"/>
  <c r="A22" i="66"/>
  <c r="J10" i="66"/>
  <c r="N10" i="66"/>
  <c r="M10" i="66"/>
  <c r="A14" i="66"/>
  <c r="A19" i="66"/>
  <c r="A17" i="66"/>
  <c r="A15" i="66"/>
  <c r="K10" i="66"/>
  <c r="L10" i="66"/>
  <c r="O10" i="66"/>
  <c r="A25" i="66"/>
  <c r="A13" i="66"/>
  <c r="F17" i="3"/>
  <c r="H17" i="3" s="1"/>
  <c r="F18" i="3"/>
  <c r="F24" i="3"/>
  <c r="G24" i="3" s="1"/>
  <c r="F25" i="3"/>
  <c r="G25" i="3" s="1"/>
  <c r="F26" i="3"/>
  <c r="G26" i="3" s="1"/>
  <c r="F27" i="3"/>
  <c r="H27" i="3" s="1"/>
  <c r="F28" i="3"/>
  <c r="H28" i="3" s="1"/>
  <c r="F31" i="3"/>
  <c r="G31" i="3" s="1"/>
  <c r="F32" i="3"/>
  <c r="F33" i="3"/>
  <c r="F34" i="3"/>
  <c r="H34" i="3" s="1"/>
  <c r="F35" i="3"/>
  <c r="H35" i="3" s="1"/>
  <c r="F36" i="3"/>
  <c r="G36" i="3" s="1"/>
  <c r="F45" i="3"/>
  <c r="G45" i="3" s="1"/>
  <c r="F46" i="3"/>
  <c r="H46" i="3" s="1"/>
  <c r="F47" i="3"/>
  <c r="H47" i="3" s="1"/>
  <c r="F48" i="3"/>
  <c r="H48" i="3" s="1"/>
  <c r="F49" i="3"/>
  <c r="G49" i="3" s="1"/>
  <c r="F56" i="3"/>
  <c r="H56" i="3" s="1"/>
  <c r="F57" i="3"/>
  <c r="H57" i="3" s="1"/>
  <c r="F58" i="3"/>
  <c r="G58" i="3" s="1"/>
  <c r="F59" i="3"/>
  <c r="G59" i="3" s="1"/>
  <c r="F60" i="3"/>
  <c r="G60" i="3" s="1"/>
  <c r="F61" i="3"/>
  <c r="G61" i="3" s="1"/>
  <c r="F62" i="3"/>
  <c r="H62" i="3" s="1"/>
  <c r="F63" i="3"/>
  <c r="H63" i="3" s="1"/>
  <c r="F64" i="3"/>
  <c r="H64" i="3" s="1"/>
  <c r="F48" i="18"/>
  <c r="G48" i="18" s="1"/>
  <c r="F22" i="24"/>
  <c r="H22" i="24" s="1"/>
  <c r="F21" i="24"/>
  <c r="H21" i="24" s="1"/>
  <c r="F54" i="40"/>
  <c r="F53" i="40"/>
  <c r="H53" i="40" s="1"/>
  <c r="F52" i="40"/>
  <c r="H52" i="40" s="1"/>
  <c r="F51" i="40"/>
  <c r="H51" i="40" s="1"/>
  <c r="F50" i="40"/>
  <c r="F49" i="40"/>
  <c r="H49" i="40" s="1"/>
  <c r="F48" i="40"/>
  <c r="F47" i="40"/>
  <c r="H47" i="40" s="1"/>
  <c r="F46" i="40"/>
  <c r="H46" i="40" s="1"/>
  <c r="F39" i="40"/>
  <c r="G39" i="40" s="1"/>
  <c r="F38" i="40"/>
  <c r="G38" i="40" s="1"/>
  <c r="F37" i="40"/>
  <c r="H37" i="40" s="1"/>
  <c r="F36" i="40"/>
  <c r="F35" i="40"/>
  <c r="H35" i="40" s="1"/>
  <c r="F30" i="40"/>
  <c r="F29" i="40"/>
  <c r="H29" i="40" s="1"/>
  <c r="F28" i="40"/>
  <c r="H28" i="40" s="1"/>
  <c r="F27" i="40"/>
  <c r="G27" i="40" s="1"/>
  <c r="F26" i="40"/>
  <c r="F25" i="40"/>
  <c r="H25" i="40" s="1"/>
  <c r="F24" i="40"/>
  <c r="H24" i="40" s="1"/>
  <c r="F23" i="40"/>
  <c r="F22" i="40"/>
  <c r="H22" i="40" s="1"/>
  <c r="F21" i="40"/>
  <c r="G21" i="40" s="1"/>
  <c r="F15" i="40"/>
  <c r="G15" i="40" s="1"/>
  <c r="F9" i="40"/>
  <c r="F12" i="40" s="1"/>
  <c r="B26" i="27" s="1"/>
  <c r="F58" i="39"/>
  <c r="G58" i="39" s="1"/>
  <c r="H58" i="39"/>
  <c r="F57" i="39"/>
  <c r="H57" i="39" s="1"/>
  <c r="F56" i="39"/>
  <c r="F55" i="39"/>
  <c r="F54" i="39"/>
  <c r="H54" i="39" s="1"/>
  <c r="F53" i="39"/>
  <c r="F52" i="39"/>
  <c r="G52" i="39" s="1"/>
  <c r="F51" i="39"/>
  <c r="F50" i="39"/>
  <c r="F43" i="39"/>
  <c r="H43" i="39" s="1"/>
  <c r="F42" i="39"/>
  <c r="H42" i="39" s="1"/>
  <c r="F41" i="39"/>
  <c r="H41" i="39" s="1"/>
  <c r="F40" i="39"/>
  <c r="H40" i="39" s="1"/>
  <c r="F39" i="39"/>
  <c r="F30" i="39"/>
  <c r="H30" i="39" s="1"/>
  <c r="F29" i="39"/>
  <c r="H29" i="39" s="1"/>
  <c r="F28" i="39"/>
  <c r="F27" i="39"/>
  <c r="H27" i="39" s="1"/>
  <c r="F26" i="39"/>
  <c r="H26" i="39" s="1"/>
  <c r="F25" i="39"/>
  <c r="G25" i="39" s="1"/>
  <c r="F24" i="39"/>
  <c r="G24" i="39" s="1"/>
  <c r="F23" i="39"/>
  <c r="H23" i="39" s="1"/>
  <c r="F22" i="39"/>
  <c r="G22" i="39" s="1"/>
  <c r="F21" i="39"/>
  <c r="F15" i="39"/>
  <c r="H15" i="39" s="1"/>
  <c r="F9" i="39"/>
  <c r="G9" i="39" s="1"/>
  <c r="G12" i="39" s="1"/>
  <c r="C16" i="27" s="1"/>
  <c r="F22" i="30"/>
  <c r="G22" i="30" s="1"/>
  <c r="F23" i="30"/>
  <c r="F22" i="22"/>
  <c r="G22" i="22" s="1"/>
  <c r="F21" i="22"/>
  <c r="G21" i="22" s="1"/>
  <c r="F24" i="16"/>
  <c r="G24" i="16" s="1"/>
  <c r="F22" i="16"/>
  <c r="H22" i="16" s="1"/>
  <c r="F22" i="11"/>
  <c r="H22" i="11" s="1"/>
  <c r="F10" i="7"/>
  <c r="F17" i="9"/>
  <c r="H17" i="9" s="1"/>
  <c r="F18" i="9"/>
  <c r="F10" i="17"/>
  <c r="H10" i="17" s="1"/>
  <c r="F16" i="16"/>
  <c r="G16" i="16" s="1"/>
  <c r="F23" i="16"/>
  <c r="H23" i="16" s="1"/>
  <c r="B25" i="16"/>
  <c r="F25" i="16" s="1"/>
  <c r="H25" i="16" s="1"/>
  <c r="F26" i="16"/>
  <c r="F27" i="16"/>
  <c r="H27" i="16" s="1"/>
  <c r="F28" i="16"/>
  <c r="H28" i="16" s="1"/>
  <c r="F29" i="16"/>
  <c r="F30" i="16"/>
  <c r="H30" i="16" s="1"/>
  <c r="F31" i="16"/>
  <c r="G31" i="16" s="1"/>
  <c r="H39" i="16"/>
  <c r="F40" i="16"/>
  <c r="F41" i="16"/>
  <c r="H41" i="16" s="1"/>
  <c r="F42" i="16"/>
  <c r="H42" i="16" s="1"/>
  <c r="F43" i="16"/>
  <c r="G43" i="16" s="1"/>
  <c r="F44" i="16"/>
  <c r="H44" i="16" s="1"/>
  <c r="F51" i="16"/>
  <c r="G51" i="16" s="1"/>
  <c r="F52" i="16"/>
  <c r="H52" i="16" s="1"/>
  <c r="F53" i="16"/>
  <c r="H53" i="16" s="1"/>
  <c r="F54" i="16"/>
  <c r="F55" i="16"/>
  <c r="G55" i="16" s="1"/>
  <c r="F56" i="16"/>
  <c r="H56" i="16" s="1"/>
  <c r="F57" i="16"/>
  <c r="G57" i="16" s="1"/>
  <c r="F58" i="16"/>
  <c r="H58" i="16" s="1"/>
  <c r="F59" i="16"/>
  <c r="H59" i="16" s="1"/>
  <c r="F16" i="11"/>
  <c r="H16" i="11" s="1"/>
  <c r="F23" i="11"/>
  <c r="G23" i="11" s="1"/>
  <c r="F24" i="11"/>
  <c r="G24" i="11" s="1"/>
  <c r="F26" i="11"/>
  <c r="H26" i="11" s="1"/>
  <c r="F27" i="11"/>
  <c r="G27" i="11" s="1"/>
  <c r="F28" i="11"/>
  <c r="F29" i="11"/>
  <c r="H29" i="11" s="1"/>
  <c r="F30" i="11"/>
  <c r="H30" i="11" s="1"/>
  <c r="F31" i="11"/>
  <c r="H31" i="11" s="1"/>
  <c r="F40" i="11"/>
  <c r="H40" i="11" s="1"/>
  <c r="F41" i="11"/>
  <c r="H41" i="11" s="1"/>
  <c r="F42" i="11"/>
  <c r="H42" i="11" s="1"/>
  <c r="F43" i="11"/>
  <c r="G43" i="11" s="1"/>
  <c r="F44" i="11"/>
  <c r="H44" i="11" s="1"/>
  <c r="F51" i="11"/>
  <c r="F52" i="11"/>
  <c r="H52" i="11" s="1"/>
  <c r="F53" i="11"/>
  <c r="G53" i="11" s="1"/>
  <c r="F54" i="11"/>
  <c r="G54" i="11" s="1"/>
  <c r="F55" i="11"/>
  <c r="H55" i="11" s="1"/>
  <c r="F56" i="11"/>
  <c r="G56" i="11" s="1"/>
  <c r="F57" i="11"/>
  <c r="G57" i="11" s="1"/>
  <c r="F58" i="11"/>
  <c r="H58" i="11" s="1"/>
  <c r="F59" i="11"/>
  <c r="F16" i="25"/>
  <c r="H16" i="25" s="1"/>
  <c r="F17" i="25"/>
  <c r="H17" i="25" s="1"/>
  <c r="F23" i="25"/>
  <c r="G23" i="25" s="1"/>
  <c r="F24" i="25"/>
  <c r="F25" i="25"/>
  <c r="H25" i="25" s="1"/>
  <c r="F26" i="25"/>
  <c r="H26" i="25" s="1"/>
  <c r="B27" i="25"/>
  <c r="F27" i="25" s="1"/>
  <c r="H27" i="25" s="1"/>
  <c r="F28" i="25"/>
  <c r="G28" i="25" s="1"/>
  <c r="H28" i="25"/>
  <c r="F29" i="25"/>
  <c r="G29" i="25" s="1"/>
  <c r="F30" i="25"/>
  <c r="H30" i="25" s="1"/>
  <c r="F31" i="25"/>
  <c r="G31" i="25" s="1"/>
  <c r="F32" i="25"/>
  <c r="G32" i="25" s="1"/>
  <c r="F33" i="25"/>
  <c r="H33" i="25" s="1"/>
  <c r="F38" i="25"/>
  <c r="H38" i="25" s="1"/>
  <c r="F39" i="25"/>
  <c r="G39" i="25" s="1"/>
  <c r="H40" i="25"/>
  <c r="F41" i="25"/>
  <c r="H41" i="25" s="1"/>
  <c r="F42" i="25"/>
  <c r="H42" i="25" s="1"/>
  <c r="G40" i="25"/>
  <c r="F15" i="24"/>
  <c r="H15" i="24" s="1"/>
  <c r="F23" i="24"/>
  <c r="F24" i="24"/>
  <c r="B25" i="24"/>
  <c r="F25" i="24" s="1"/>
  <c r="H25" i="24" s="1"/>
  <c r="F26" i="24"/>
  <c r="H26" i="24" s="1"/>
  <c r="F27" i="24"/>
  <c r="G27" i="24" s="1"/>
  <c r="F28" i="24"/>
  <c r="F29" i="24"/>
  <c r="H29" i="24" s="1"/>
  <c r="F30" i="24"/>
  <c r="G30" i="24" s="1"/>
  <c r="F31" i="24"/>
  <c r="G31" i="24" s="1"/>
  <c r="F32" i="24"/>
  <c r="H32" i="24" s="1"/>
  <c r="F37" i="24"/>
  <c r="H37" i="24" s="1"/>
  <c r="F38" i="24"/>
  <c r="H38" i="24" s="1"/>
  <c r="H39" i="24"/>
  <c r="F40" i="24"/>
  <c r="G40" i="24" s="1"/>
  <c r="F41" i="24"/>
  <c r="H41" i="24" s="1"/>
  <c r="G39" i="24"/>
  <c r="F16" i="7"/>
  <c r="H16" i="7" s="1"/>
  <c r="F22" i="7"/>
  <c r="H22" i="7" s="1"/>
  <c r="F23" i="7"/>
  <c r="F24" i="7"/>
  <c r="H24" i="7" s="1"/>
  <c r="F25" i="7"/>
  <c r="H25" i="7" s="1"/>
  <c r="B26" i="7"/>
  <c r="F26" i="7" s="1"/>
  <c r="G26" i="7" s="1"/>
  <c r="F27" i="7"/>
  <c r="H27" i="7" s="1"/>
  <c r="F28" i="7"/>
  <c r="H28" i="7" s="1"/>
  <c r="F29" i="7"/>
  <c r="F30" i="7"/>
  <c r="H30" i="7" s="1"/>
  <c r="F31" i="7"/>
  <c r="H31" i="7" s="1"/>
  <c r="F32" i="7"/>
  <c r="H32" i="7" s="1"/>
  <c r="F37" i="7"/>
  <c r="H37" i="7" s="1"/>
  <c r="F38" i="7"/>
  <c r="G38" i="7" s="1"/>
  <c r="H39" i="7"/>
  <c r="F40" i="7"/>
  <c r="H40" i="7" s="1"/>
  <c r="F41" i="7"/>
  <c r="F42" i="7" s="1"/>
  <c r="G39" i="7"/>
  <c r="F15" i="15"/>
  <c r="H15" i="15" s="1"/>
  <c r="F21" i="15"/>
  <c r="H21" i="15" s="1"/>
  <c r="F22" i="15"/>
  <c r="H22" i="15" s="1"/>
  <c r="F23" i="15"/>
  <c r="F24" i="15"/>
  <c r="H24" i="15" s="1"/>
  <c r="B25" i="15"/>
  <c r="F25" i="15" s="1"/>
  <c r="G25" i="15" s="1"/>
  <c r="F26" i="15"/>
  <c r="F27" i="15"/>
  <c r="G27" i="15" s="1"/>
  <c r="F28" i="15"/>
  <c r="F29" i="15"/>
  <c r="H29" i="15" s="1"/>
  <c r="F30" i="15"/>
  <c r="H30" i="15" s="1"/>
  <c r="F31" i="15"/>
  <c r="H31" i="15" s="1"/>
  <c r="F36" i="15"/>
  <c r="H36" i="15" s="1"/>
  <c r="F37" i="15"/>
  <c r="F38" i="15"/>
  <c r="H38" i="15" s="1"/>
  <c r="F39" i="15"/>
  <c r="H39" i="15" s="1"/>
  <c r="F40" i="15"/>
  <c r="H40" i="15" s="1"/>
  <c r="F24" i="9"/>
  <c r="G24" i="9" s="1"/>
  <c r="F25" i="9"/>
  <c r="F26" i="9"/>
  <c r="H26" i="9" s="1"/>
  <c r="F27" i="9"/>
  <c r="G27" i="9" s="1"/>
  <c r="F28" i="9"/>
  <c r="F29" i="9"/>
  <c r="H29" i="9" s="1"/>
  <c r="F32" i="9"/>
  <c r="G32" i="9" s="1"/>
  <c r="F33" i="9"/>
  <c r="H33" i="9" s="1"/>
  <c r="F34" i="9"/>
  <c r="G34" i="9" s="1"/>
  <c r="F35" i="9"/>
  <c r="H35" i="9" s="1"/>
  <c r="F36" i="9"/>
  <c r="F37" i="9"/>
  <c r="G37" i="9" s="1"/>
  <c r="F42" i="9"/>
  <c r="G42" i="9" s="1"/>
  <c r="F43" i="9"/>
  <c r="G43" i="9" s="1"/>
  <c r="F44" i="9"/>
  <c r="G44" i="9" s="1"/>
  <c r="F45" i="9"/>
  <c r="H45" i="9" s="1"/>
  <c r="F46" i="9"/>
  <c r="G39" i="16"/>
  <c r="F16" i="34"/>
  <c r="G16" i="34" s="1"/>
  <c r="F21" i="34"/>
  <c r="F23" i="34"/>
  <c r="F24" i="34"/>
  <c r="F25" i="34"/>
  <c r="B26" i="34"/>
  <c r="F26" i="34" s="1"/>
  <c r="F27" i="34"/>
  <c r="F28" i="34"/>
  <c r="F29" i="34"/>
  <c r="F30" i="34"/>
  <c r="F31" i="34"/>
  <c r="F32" i="34"/>
  <c r="F41" i="34"/>
  <c r="F42" i="34"/>
  <c r="F43" i="34"/>
  <c r="F44" i="34"/>
  <c r="F45" i="34"/>
  <c r="F52" i="34"/>
  <c r="F53" i="34"/>
  <c r="H53" i="34" s="1"/>
  <c r="F54" i="34"/>
  <c r="H54" i="34" s="1"/>
  <c r="F55" i="34"/>
  <c r="G55" i="34" s="1"/>
  <c r="F56" i="34"/>
  <c r="F57" i="34"/>
  <c r="F58" i="34"/>
  <c r="H58" i="34" s="1"/>
  <c r="F59" i="34"/>
  <c r="G59" i="34" s="1"/>
  <c r="F60" i="34"/>
  <c r="H60" i="34" s="1"/>
  <c r="F61" i="34"/>
  <c r="H61" i="34" s="1"/>
  <c r="V7" i="27"/>
  <c r="F56" i="25"/>
  <c r="H56" i="25" s="1"/>
  <c r="F55" i="24"/>
  <c r="G55" i="24" s="1"/>
  <c r="F55" i="7"/>
  <c r="G55" i="7" s="1"/>
  <c r="F54" i="15"/>
  <c r="H54" i="15" s="1"/>
  <c r="F60" i="9"/>
  <c r="H60" i="9" s="1"/>
  <c r="F49" i="25"/>
  <c r="G49" i="25" s="1"/>
  <c r="F50" i="25"/>
  <c r="F51" i="25"/>
  <c r="G51" i="25" s="1"/>
  <c r="F52" i="25"/>
  <c r="G52" i="25" s="1"/>
  <c r="F53" i="25"/>
  <c r="G53" i="25" s="1"/>
  <c r="F54" i="25"/>
  <c r="H54" i="25" s="1"/>
  <c r="F55" i="25"/>
  <c r="G55" i="25" s="1"/>
  <c r="F57" i="25"/>
  <c r="G57" i="25" s="1"/>
  <c r="F48" i="24"/>
  <c r="H48" i="24" s="1"/>
  <c r="F49" i="24"/>
  <c r="H49" i="24" s="1"/>
  <c r="F50" i="24"/>
  <c r="H50" i="24" s="1"/>
  <c r="F51" i="24"/>
  <c r="H51" i="24" s="1"/>
  <c r="F52" i="24"/>
  <c r="H52" i="24" s="1"/>
  <c r="F53" i="24"/>
  <c r="H53" i="24" s="1"/>
  <c r="F54" i="24"/>
  <c r="F56" i="24"/>
  <c r="H56" i="24" s="1"/>
  <c r="F48" i="7"/>
  <c r="F49" i="7"/>
  <c r="H49" i="7" s="1"/>
  <c r="F50" i="7"/>
  <c r="G50" i="7" s="1"/>
  <c r="F51" i="7"/>
  <c r="H51" i="7" s="1"/>
  <c r="F52" i="7"/>
  <c r="G52" i="7" s="1"/>
  <c r="F53" i="7"/>
  <c r="G53" i="7" s="1"/>
  <c r="F54" i="7"/>
  <c r="H54" i="7" s="1"/>
  <c r="F56" i="7"/>
  <c r="H56" i="7" s="1"/>
  <c r="F47" i="15"/>
  <c r="G47" i="15" s="1"/>
  <c r="F48" i="15"/>
  <c r="H48" i="15" s="1"/>
  <c r="F49" i="15"/>
  <c r="H49" i="15" s="1"/>
  <c r="F50" i="15"/>
  <c r="G50" i="15" s="1"/>
  <c r="F51" i="15"/>
  <c r="F52" i="15"/>
  <c r="H52" i="15" s="1"/>
  <c r="F53" i="15"/>
  <c r="H53" i="15" s="1"/>
  <c r="F55" i="15"/>
  <c r="H55" i="15" s="1"/>
  <c r="F53" i="9"/>
  <c r="G53" i="9" s="1"/>
  <c r="F54" i="9"/>
  <c r="F55" i="9"/>
  <c r="H55" i="9" s="1"/>
  <c r="F56" i="9"/>
  <c r="G56" i="9" s="1"/>
  <c r="F57" i="9"/>
  <c r="G57" i="9" s="1"/>
  <c r="F58" i="9"/>
  <c r="G58" i="9" s="1"/>
  <c r="F59" i="9"/>
  <c r="F61" i="9"/>
  <c r="H41" i="21"/>
  <c r="H38" i="19"/>
  <c r="H43" i="18"/>
  <c r="V18" i="27"/>
  <c r="F44" i="23"/>
  <c r="F44" i="30"/>
  <c r="H44" i="30" s="1"/>
  <c r="F43" i="22"/>
  <c r="G41" i="21"/>
  <c r="G38" i="19"/>
  <c r="G43" i="18"/>
  <c r="F16" i="30"/>
  <c r="F24" i="30"/>
  <c r="G24" i="30" s="1"/>
  <c r="F25" i="30"/>
  <c r="H25" i="30" s="1"/>
  <c r="B26" i="30"/>
  <c r="F26" i="30" s="1"/>
  <c r="H26" i="30" s="1"/>
  <c r="F27" i="30"/>
  <c r="F28" i="30"/>
  <c r="H28" i="30" s="1"/>
  <c r="F29" i="30"/>
  <c r="G29" i="30" s="1"/>
  <c r="F30" i="30"/>
  <c r="G30" i="30" s="1"/>
  <c r="F31" i="30"/>
  <c r="F32" i="30"/>
  <c r="G32" i="30" s="1"/>
  <c r="F33" i="30"/>
  <c r="F42" i="30"/>
  <c r="H42" i="30" s="1"/>
  <c r="F43" i="30"/>
  <c r="H43" i="30" s="1"/>
  <c r="F45" i="30"/>
  <c r="G45" i="30" s="1"/>
  <c r="F46" i="30"/>
  <c r="F53" i="30"/>
  <c r="H53" i="30" s="1"/>
  <c r="F54" i="30"/>
  <c r="F55" i="30"/>
  <c r="H55" i="30" s="1"/>
  <c r="F56" i="30"/>
  <c r="H56" i="30" s="1"/>
  <c r="F57" i="30"/>
  <c r="H57" i="30" s="1"/>
  <c r="F58" i="30"/>
  <c r="G58" i="30" s="1"/>
  <c r="F59" i="30"/>
  <c r="G59" i="30" s="1"/>
  <c r="F60" i="30"/>
  <c r="H60" i="30" s="1"/>
  <c r="F61" i="30"/>
  <c r="G61" i="30" s="1"/>
  <c r="F15" i="22"/>
  <c r="G15" i="22" s="1"/>
  <c r="F23" i="22"/>
  <c r="G23" i="22" s="1"/>
  <c r="F24" i="22"/>
  <c r="G24" i="22" s="1"/>
  <c r="B25" i="22"/>
  <c r="F25" i="22" s="1"/>
  <c r="F26" i="22"/>
  <c r="G26" i="22" s="1"/>
  <c r="F27" i="22"/>
  <c r="H27" i="22" s="1"/>
  <c r="F28" i="22"/>
  <c r="H28" i="22" s="1"/>
  <c r="F29" i="22"/>
  <c r="F30" i="22"/>
  <c r="G30" i="22" s="1"/>
  <c r="F31" i="22"/>
  <c r="H31" i="22" s="1"/>
  <c r="F32" i="22"/>
  <c r="H32" i="22" s="1"/>
  <c r="F41" i="22"/>
  <c r="F42" i="22"/>
  <c r="H42" i="22" s="1"/>
  <c r="F44" i="22"/>
  <c r="H44" i="22" s="1"/>
  <c r="F45" i="22"/>
  <c r="G45" i="22" s="1"/>
  <c r="F52" i="22"/>
  <c r="F53" i="22"/>
  <c r="G53" i="22" s="1"/>
  <c r="F54" i="22"/>
  <c r="G54" i="22" s="1"/>
  <c r="F55" i="22"/>
  <c r="F56" i="22"/>
  <c r="H56" i="22" s="1"/>
  <c r="F57" i="22"/>
  <c r="H57" i="22" s="1"/>
  <c r="F58" i="22"/>
  <c r="G58" i="22" s="1"/>
  <c r="F59" i="22"/>
  <c r="G59" i="22" s="1"/>
  <c r="F60" i="22"/>
  <c r="H60" i="22" s="1"/>
  <c r="F15" i="19"/>
  <c r="G15" i="19" s="1"/>
  <c r="F21" i="19"/>
  <c r="H21" i="19" s="1"/>
  <c r="F22" i="19"/>
  <c r="G22" i="19" s="1"/>
  <c r="F23" i="19"/>
  <c r="G23" i="19" s="1"/>
  <c r="B24" i="19"/>
  <c r="F24" i="19" s="1"/>
  <c r="H24" i="19" s="1"/>
  <c r="F25" i="19"/>
  <c r="F26" i="19"/>
  <c r="H26" i="19" s="1"/>
  <c r="F27" i="19"/>
  <c r="H27" i="19" s="1"/>
  <c r="F28" i="19"/>
  <c r="H28" i="19" s="1"/>
  <c r="F29" i="19"/>
  <c r="H29" i="19" s="1"/>
  <c r="F30" i="19"/>
  <c r="F39" i="19"/>
  <c r="F40" i="19"/>
  <c r="F41" i="19"/>
  <c r="F42" i="19"/>
  <c r="H42" i="19" s="1"/>
  <c r="F43" i="19"/>
  <c r="H43" i="19" s="1"/>
  <c r="F50" i="19"/>
  <c r="G50" i="19" s="1"/>
  <c r="F51" i="19"/>
  <c r="H51" i="19" s="1"/>
  <c r="F52" i="19"/>
  <c r="H52" i="19" s="1"/>
  <c r="F53" i="19"/>
  <c r="F54" i="19"/>
  <c r="H54" i="19" s="1"/>
  <c r="F55" i="19"/>
  <c r="H55" i="19" s="1"/>
  <c r="F56" i="19"/>
  <c r="G56" i="19" s="1"/>
  <c r="F57" i="19"/>
  <c r="H57" i="19" s="1"/>
  <c r="F58" i="19"/>
  <c r="H58" i="19" s="1"/>
  <c r="F16" i="23"/>
  <c r="H16" i="23" s="1"/>
  <c r="F17" i="23"/>
  <c r="G17" i="23" s="1"/>
  <c r="F23" i="23"/>
  <c r="H23" i="23" s="1"/>
  <c r="F24" i="23"/>
  <c r="G24" i="23" s="1"/>
  <c r="F25" i="23"/>
  <c r="G25" i="23" s="1"/>
  <c r="F26" i="23"/>
  <c r="G26" i="23" s="1"/>
  <c r="B27" i="23"/>
  <c r="F27" i="23" s="1"/>
  <c r="G27" i="23" s="1"/>
  <c r="F28" i="23"/>
  <c r="H28" i="23" s="1"/>
  <c r="F29" i="23"/>
  <c r="G29" i="23" s="1"/>
  <c r="F30" i="23"/>
  <c r="G30" i="23" s="1"/>
  <c r="F31" i="23"/>
  <c r="H31" i="23" s="1"/>
  <c r="F32" i="23"/>
  <c r="H32" i="23" s="1"/>
  <c r="F33" i="23"/>
  <c r="F42" i="23"/>
  <c r="G42" i="23" s="1"/>
  <c r="F43" i="23"/>
  <c r="G43" i="23" s="1"/>
  <c r="F45" i="23"/>
  <c r="H45" i="23" s="1"/>
  <c r="F46" i="23"/>
  <c r="H46" i="23" s="1"/>
  <c r="F53" i="23"/>
  <c r="H53" i="23" s="1"/>
  <c r="F54" i="23"/>
  <c r="F55" i="23"/>
  <c r="G55" i="23" s="1"/>
  <c r="F56" i="23"/>
  <c r="G56" i="23" s="1"/>
  <c r="F57" i="23"/>
  <c r="H57" i="23" s="1"/>
  <c r="F58" i="23"/>
  <c r="H58" i="23" s="1"/>
  <c r="F59" i="23"/>
  <c r="F60" i="23"/>
  <c r="G60" i="23" s="1"/>
  <c r="F61" i="23"/>
  <c r="H61" i="23" s="1"/>
  <c r="F34" i="18"/>
  <c r="G34" i="18" s="1"/>
  <c r="F33" i="18"/>
  <c r="H33" i="18" s="1"/>
  <c r="F32" i="18"/>
  <c r="G32" i="18" s="1"/>
  <c r="F17" i="18"/>
  <c r="H17" i="18" s="1"/>
  <c r="F16" i="18"/>
  <c r="G16" i="18" s="1"/>
  <c r="F23" i="18"/>
  <c r="G23" i="18" s="1"/>
  <c r="F24" i="18"/>
  <c r="H24" i="18" s="1"/>
  <c r="F25" i="18"/>
  <c r="H25" i="18" s="1"/>
  <c r="F26" i="18"/>
  <c r="G26" i="18" s="1"/>
  <c r="B27" i="18"/>
  <c r="F27" i="18" s="1"/>
  <c r="B28" i="18"/>
  <c r="F28" i="18" s="1"/>
  <c r="H28" i="18" s="1"/>
  <c r="F29" i="18"/>
  <c r="H29" i="18" s="1"/>
  <c r="F30" i="18"/>
  <c r="F31" i="18"/>
  <c r="F35" i="18"/>
  <c r="G35" i="18" s="1"/>
  <c r="F44" i="18"/>
  <c r="G44" i="18" s="1"/>
  <c r="F45" i="18"/>
  <c r="G45" i="18" s="1"/>
  <c r="F46" i="18"/>
  <c r="G46" i="18" s="1"/>
  <c r="F47" i="18"/>
  <c r="G47" i="18" s="1"/>
  <c r="F55" i="18"/>
  <c r="H55" i="18" s="1"/>
  <c r="F56" i="18"/>
  <c r="F57" i="18"/>
  <c r="G57" i="18" s="1"/>
  <c r="F58" i="18"/>
  <c r="H58" i="18" s="1"/>
  <c r="F59" i="18"/>
  <c r="G59" i="18" s="1"/>
  <c r="F60" i="18"/>
  <c r="G60" i="18" s="1"/>
  <c r="F61" i="18"/>
  <c r="H61" i="18" s="1"/>
  <c r="F62" i="18"/>
  <c r="G62" i="18" s="1"/>
  <c r="F63" i="18"/>
  <c r="G63" i="18" s="1"/>
  <c r="F30" i="5"/>
  <c r="F15" i="5"/>
  <c r="G15" i="5" s="1"/>
  <c r="F21" i="5"/>
  <c r="H21" i="5" s="1"/>
  <c r="F22" i="5"/>
  <c r="G22" i="5" s="1"/>
  <c r="F23" i="5"/>
  <c r="H23" i="5" s="1"/>
  <c r="B24" i="5"/>
  <c r="F24" i="5" s="1"/>
  <c r="F25" i="5"/>
  <c r="G25" i="5" s="1"/>
  <c r="F26" i="5"/>
  <c r="H26" i="5" s="1"/>
  <c r="F27" i="5"/>
  <c r="H27" i="5" s="1"/>
  <c r="F28" i="5"/>
  <c r="G28" i="5" s="1"/>
  <c r="F29" i="5"/>
  <c r="G29" i="5" s="1"/>
  <c r="F39" i="5"/>
  <c r="H39" i="5" s="1"/>
  <c r="F40" i="5"/>
  <c r="H40" i="5" s="1"/>
  <c r="F41" i="5"/>
  <c r="F42" i="5"/>
  <c r="H42" i="5" s="1"/>
  <c r="F43" i="5"/>
  <c r="G43" i="5" s="1"/>
  <c r="F50" i="5"/>
  <c r="H50" i="5" s="1"/>
  <c r="F51" i="5"/>
  <c r="G51" i="5" s="1"/>
  <c r="F52" i="5"/>
  <c r="H52" i="5" s="1"/>
  <c r="F53" i="5"/>
  <c r="G53" i="5" s="1"/>
  <c r="F54" i="5"/>
  <c r="G54" i="5" s="1"/>
  <c r="F55" i="5"/>
  <c r="G55" i="5" s="1"/>
  <c r="F56" i="5"/>
  <c r="H56" i="5" s="1"/>
  <c r="F57" i="5"/>
  <c r="G57" i="5" s="1"/>
  <c r="F58" i="5"/>
  <c r="G58" i="5" s="1"/>
  <c r="B17" i="21"/>
  <c r="F17" i="21" s="1"/>
  <c r="F18" i="21"/>
  <c r="G18" i="21" s="1"/>
  <c r="F16" i="21"/>
  <c r="H16" i="21" s="1"/>
  <c r="F24" i="21"/>
  <c r="G24" i="21" s="1"/>
  <c r="F25" i="21"/>
  <c r="G25" i="21" s="1"/>
  <c r="F26" i="21"/>
  <c r="B27" i="21"/>
  <c r="F27" i="21" s="1"/>
  <c r="H27" i="21" s="1"/>
  <c r="F28" i="21"/>
  <c r="G28" i="21" s="1"/>
  <c r="F29" i="21"/>
  <c r="H29" i="21" s="1"/>
  <c r="F30" i="21"/>
  <c r="G30" i="21" s="1"/>
  <c r="F31" i="21"/>
  <c r="G31" i="21" s="1"/>
  <c r="F32" i="21"/>
  <c r="F33" i="21"/>
  <c r="G33" i="21" s="1"/>
  <c r="F42" i="21"/>
  <c r="H42" i="21" s="1"/>
  <c r="F43" i="21"/>
  <c r="F44" i="21"/>
  <c r="H44" i="21" s="1"/>
  <c r="F45" i="21"/>
  <c r="G45" i="21" s="1"/>
  <c r="F46" i="21"/>
  <c r="G46" i="21" s="1"/>
  <c r="F53" i="21"/>
  <c r="H53" i="21" s="1"/>
  <c r="F54" i="21"/>
  <c r="H54" i="21" s="1"/>
  <c r="F55" i="21"/>
  <c r="G55" i="21" s="1"/>
  <c r="F56" i="21"/>
  <c r="H56" i="21" s="1"/>
  <c r="F57" i="21"/>
  <c r="H57" i="21" s="1"/>
  <c r="F58" i="21"/>
  <c r="G58" i="21" s="1"/>
  <c r="F59" i="21"/>
  <c r="G59" i="21" s="1"/>
  <c r="F60" i="21"/>
  <c r="F61" i="21"/>
  <c r="G61" i="21" s="1"/>
  <c r="F16" i="17"/>
  <c r="F22" i="17"/>
  <c r="G22" i="17" s="1"/>
  <c r="F23" i="17"/>
  <c r="G23" i="17" s="1"/>
  <c r="F24" i="17"/>
  <c r="H24" i="17" s="1"/>
  <c r="B25" i="17"/>
  <c r="F25" i="17" s="1"/>
  <c r="F26" i="17"/>
  <c r="G26" i="17" s="1"/>
  <c r="F27" i="17"/>
  <c r="G27" i="17" s="1"/>
  <c r="F28" i="17"/>
  <c r="H28" i="17" s="1"/>
  <c r="F29" i="17"/>
  <c r="G29" i="17" s="1"/>
  <c r="F30" i="17"/>
  <c r="H30" i="17" s="1"/>
  <c r="F31" i="17"/>
  <c r="G31" i="17" s="1"/>
  <c r="F40" i="17"/>
  <c r="H40" i="17" s="1"/>
  <c r="F41" i="17"/>
  <c r="H41" i="17" s="1"/>
  <c r="F42" i="17"/>
  <c r="H42" i="17" s="1"/>
  <c r="F43" i="17"/>
  <c r="G43" i="17" s="1"/>
  <c r="F44" i="17"/>
  <c r="G44" i="17" s="1"/>
  <c r="F51" i="17"/>
  <c r="G51" i="17" s="1"/>
  <c r="F52" i="17"/>
  <c r="H52" i="17" s="1"/>
  <c r="F53" i="17"/>
  <c r="H53" i="17" s="1"/>
  <c r="F54" i="17"/>
  <c r="F55" i="17"/>
  <c r="G55" i="17" s="1"/>
  <c r="F56" i="17"/>
  <c r="G56" i="17" s="1"/>
  <c r="F57" i="17"/>
  <c r="H57" i="17" s="1"/>
  <c r="F58" i="17"/>
  <c r="G58" i="17" s="1"/>
  <c r="F59" i="17"/>
  <c r="G59" i="17" s="1"/>
  <c r="V23" i="27"/>
  <c r="V27" i="27"/>
  <c r="V28" i="27"/>
  <c r="V25" i="27"/>
  <c r="V24" i="27"/>
  <c r="V8" i="27"/>
  <c r="V19" i="27"/>
  <c r="V17" i="27"/>
  <c r="V21" i="27"/>
  <c r="V15" i="27"/>
  <c r="V13" i="27"/>
  <c r="V10" i="27"/>
  <c r="V9" i="27"/>
  <c r="V12" i="27"/>
  <c r="V11" i="27"/>
  <c r="G33" i="18"/>
  <c r="G30" i="17"/>
  <c r="G23" i="39"/>
  <c r="G44" i="11"/>
  <c r="G25" i="24"/>
  <c r="G26" i="19"/>
  <c r="H39" i="40"/>
  <c r="H27" i="15"/>
  <c r="G30" i="11"/>
  <c r="G44" i="30"/>
  <c r="H43" i="22"/>
  <c r="G43" i="22"/>
  <c r="H16" i="17" l="1"/>
  <c r="F45" i="17"/>
  <c r="G20" i="18"/>
  <c r="F49" i="18"/>
  <c r="H21" i="3"/>
  <c r="F50" i="3"/>
  <c r="H52" i="39"/>
  <c r="H23" i="24"/>
  <c r="F42" i="24"/>
  <c r="G33" i="15"/>
  <c r="F41" i="15"/>
  <c r="G28" i="15"/>
  <c r="G36" i="15"/>
  <c r="G36" i="22"/>
  <c r="F46" i="22"/>
  <c r="G39" i="19"/>
  <c r="G28" i="11"/>
  <c r="G29" i="16"/>
  <c r="F45" i="16"/>
  <c r="G57" i="3"/>
  <c r="G57" i="19"/>
  <c r="G61" i="18"/>
  <c r="G32" i="23"/>
  <c r="H56" i="17"/>
  <c r="G56" i="24"/>
  <c r="H40" i="24"/>
  <c r="H61" i="30"/>
  <c r="G27" i="19"/>
  <c r="G49" i="24"/>
  <c r="G24" i="15"/>
  <c r="G57" i="39"/>
  <c r="H16" i="18"/>
  <c r="E73" i="68"/>
  <c r="E75" i="68"/>
  <c r="E71" i="68"/>
  <c r="E74" i="68"/>
  <c r="E72" i="68"/>
  <c r="H51" i="17"/>
  <c r="H16" i="16"/>
  <c r="G9" i="7"/>
  <c r="F13" i="7"/>
  <c r="B28" i="27" s="1"/>
  <c r="F13" i="3"/>
  <c r="H9" i="9"/>
  <c r="G9" i="16"/>
  <c r="F12" i="16"/>
  <c r="F12" i="11"/>
  <c r="B9" i="27" s="1"/>
  <c r="H9" i="3"/>
  <c r="H12" i="69"/>
  <c r="D14" i="27" s="1"/>
  <c r="G19" i="11"/>
  <c r="H19" i="11"/>
  <c r="H18" i="11"/>
  <c r="G18" i="11"/>
  <c r="G26" i="9"/>
  <c r="G28" i="40"/>
  <c r="H50" i="7"/>
  <c r="G27" i="7"/>
  <c r="G54" i="7"/>
  <c r="G30" i="7"/>
  <c r="H53" i="7"/>
  <c r="H57" i="25"/>
  <c r="G22" i="16"/>
  <c r="H59" i="17"/>
  <c r="H31" i="16"/>
  <c r="H27" i="17"/>
  <c r="G25" i="40"/>
  <c r="G27" i="16"/>
  <c r="H43" i="9"/>
  <c r="G62" i="3"/>
  <c r="G53" i="16"/>
  <c r="F30" i="9"/>
  <c r="G30" i="9" s="1"/>
  <c r="G27" i="3"/>
  <c r="G56" i="5"/>
  <c r="G51" i="19"/>
  <c r="H55" i="7"/>
  <c r="G37" i="40"/>
  <c r="G57" i="30"/>
  <c r="G23" i="24"/>
  <c r="G15" i="24"/>
  <c r="H39" i="25"/>
  <c r="G26" i="25"/>
  <c r="H54" i="22"/>
  <c r="H23" i="30"/>
  <c r="G54" i="39"/>
  <c r="G43" i="39"/>
  <c r="G43" i="19"/>
  <c r="H15" i="19"/>
  <c r="G41" i="16"/>
  <c r="H55" i="23"/>
  <c r="H9" i="11"/>
  <c r="H30" i="22"/>
  <c r="H22" i="22"/>
  <c r="G30" i="39"/>
  <c r="G28" i="19"/>
  <c r="G23" i="16"/>
  <c r="H24" i="16"/>
  <c r="H24" i="11"/>
  <c r="H61" i="21"/>
  <c r="G57" i="23"/>
  <c r="H29" i="23"/>
  <c r="H24" i="30"/>
  <c r="H53" i="25"/>
  <c r="H55" i="21"/>
  <c r="H55" i="25"/>
  <c r="H56" i="9"/>
  <c r="G33" i="25"/>
  <c r="H45" i="30"/>
  <c r="G55" i="18"/>
  <c r="G48" i="24"/>
  <c r="H33" i="21"/>
  <c r="H42" i="9"/>
  <c r="G55" i="9"/>
  <c r="G56" i="25"/>
  <c r="G32" i="24"/>
  <c r="H34" i="9"/>
  <c r="G46" i="40"/>
  <c r="G25" i="30"/>
  <c r="F34" i="25"/>
  <c r="H34" i="25" s="1"/>
  <c r="H53" i="5"/>
  <c r="H51" i="25"/>
  <c r="G39" i="5"/>
  <c r="H54" i="11"/>
  <c r="G22" i="7"/>
  <c r="H22" i="5"/>
  <c r="H24" i="9"/>
  <c r="G53" i="40"/>
  <c r="G32" i="22"/>
  <c r="G26" i="5"/>
  <c r="H31" i="21"/>
  <c r="G60" i="30"/>
  <c r="F31" i="9"/>
  <c r="G31" i="9" s="1"/>
  <c r="H31" i="69"/>
  <c r="H44" i="69" s="1"/>
  <c r="H46" i="69" s="1"/>
  <c r="G14" i="27" s="1"/>
  <c r="G31" i="69"/>
  <c r="G44" i="69" s="1"/>
  <c r="G46" i="69" s="1"/>
  <c r="H50" i="15"/>
  <c r="G52" i="15"/>
  <c r="G53" i="15"/>
  <c r="H28" i="15"/>
  <c r="G55" i="15"/>
  <c r="G31" i="15"/>
  <c r="G15" i="15"/>
  <c r="G39" i="15"/>
  <c r="G22" i="15"/>
  <c r="H47" i="15"/>
  <c r="G54" i="34"/>
  <c r="G53" i="23"/>
  <c r="H60" i="23"/>
  <c r="G59" i="69"/>
  <c r="H55" i="5"/>
  <c r="H59" i="18"/>
  <c r="G17" i="18"/>
  <c r="G25" i="18"/>
  <c r="H24" i="3"/>
  <c r="G48" i="3"/>
  <c r="G35" i="3"/>
  <c r="G34" i="3"/>
  <c r="G56" i="3"/>
  <c r="G64" i="3"/>
  <c r="H43" i="16"/>
  <c r="H29" i="16"/>
  <c r="G52" i="11"/>
  <c r="G58" i="11"/>
  <c r="G22" i="11"/>
  <c r="H42" i="23"/>
  <c r="G28" i="23"/>
  <c r="G58" i="23"/>
  <c r="G61" i="23"/>
  <c r="G45" i="23"/>
  <c r="H28" i="34"/>
  <c r="G28" i="34"/>
  <c r="H43" i="34"/>
  <c r="G43" i="34"/>
  <c r="H27" i="34"/>
  <c r="G27" i="34"/>
  <c r="H42" i="34"/>
  <c r="G42" i="34"/>
  <c r="H26" i="34"/>
  <c r="G26" i="34"/>
  <c r="H41" i="34"/>
  <c r="G41" i="34"/>
  <c r="H24" i="34"/>
  <c r="G24" i="34"/>
  <c r="H31" i="34"/>
  <c r="G31" i="34"/>
  <c r="H23" i="34"/>
  <c r="G23" i="34"/>
  <c r="H25" i="34"/>
  <c r="G25" i="34"/>
  <c r="H30" i="34"/>
  <c r="G30" i="34"/>
  <c r="H21" i="34"/>
  <c r="G21" i="34"/>
  <c r="H44" i="34"/>
  <c r="G44" i="34"/>
  <c r="H32" i="34"/>
  <c r="G32" i="34"/>
  <c r="H45" i="34"/>
  <c r="G45" i="34"/>
  <c r="H29" i="34"/>
  <c r="G29" i="34"/>
  <c r="H17" i="40"/>
  <c r="H19" i="25"/>
  <c r="F45" i="25"/>
  <c r="H17" i="24"/>
  <c r="G18" i="7"/>
  <c r="F48" i="34"/>
  <c r="H17" i="22"/>
  <c r="H18" i="30"/>
  <c r="G19" i="18"/>
  <c r="H20" i="9"/>
  <c r="H17" i="15"/>
  <c r="G17" i="39"/>
  <c r="H18" i="17"/>
  <c r="S22" i="27"/>
  <c r="F60" i="69"/>
  <c r="E14" i="27"/>
  <c r="H14" i="27" s="1"/>
  <c r="T22" i="27"/>
  <c r="H34" i="7"/>
  <c r="G37" i="34"/>
  <c r="H37" i="34"/>
  <c r="G36" i="34"/>
  <c r="H36" i="34"/>
  <c r="H35" i="34"/>
  <c r="G35" i="34"/>
  <c r="G18" i="34"/>
  <c r="H18" i="34"/>
  <c r="H34" i="34"/>
  <c r="G34" i="34"/>
  <c r="G33" i="34"/>
  <c r="H33" i="34"/>
  <c r="H59" i="34"/>
  <c r="H16" i="34"/>
  <c r="H52" i="25"/>
  <c r="H38" i="21"/>
  <c r="G9" i="23"/>
  <c r="G12" i="23" s="1"/>
  <c r="C8" i="27" s="1"/>
  <c r="H33" i="17"/>
  <c r="G9" i="9"/>
  <c r="F12" i="23"/>
  <c r="B8" i="27" s="1"/>
  <c r="U24" i="27"/>
  <c r="F9" i="25"/>
  <c r="G9" i="25" s="1"/>
  <c r="G12" i="25" s="1"/>
  <c r="C23" i="27" s="1"/>
  <c r="U7" i="27"/>
  <c r="U8" i="27"/>
  <c r="G20" i="11"/>
  <c r="G17" i="40"/>
  <c r="H38" i="23"/>
  <c r="H9" i="7"/>
  <c r="F31" i="39"/>
  <c r="H31" i="39" s="1"/>
  <c r="G39" i="9"/>
  <c r="U28" i="27"/>
  <c r="H35" i="18"/>
  <c r="H57" i="18"/>
  <c r="G44" i="21"/>
  <c r="G9" i="34"/>
  <c r="G12" i="34" s="1"/>
  <c r="C7" i="27" s="1"/>
  <c r="H9" i="34"/>
  <c r="H12" i="34" s="1"/>
  <c r="D7" i="27" s="1"/>
  <c r="H36" i="17"/>
  <c r="H33" i="19"/>
  <c r="H19" i="18"/>
  <c r="G34" i="24"/>
  <c r="F34" i="30"/>
  <c r="H34" i="30" s="1"/>
  <c r="U15" i="27"/>
  <c r="G34" i="22"/>
  <c r="F32" i="16"/>
  <c r="G32" i="16" s="1"/>
  <c r="U17" i="27"/>
  <c r="C14" i="27"/>
  <c r="F47" i="69"/>
  <c r="H35" i="22"/>
  <c r="G35" i="22"/>
  <c r="H32" i="30"/>
  <c r="H36" i="3"/>
  <c r="B10" i="27"/>
  <c r="H29" i="17"/>
  <c r="H60" i="18"/>
  <c r="H15" i="22"/>
  <c r="H37" i="9"/>
  <c r="H49" i="3"/>
  <c r="G27" i="5"/>
  <c r="G40" i="15"/>
  <c r="G27" i="22"/>
  <c r="H32" i="25"/>
  <c r="G9" i="3"/>
  <c r="H24" i="21"/>
  <c r="G56" i="7"/>
  <c r="G45" i="9"/>
  <c r="H25" i="39"/>
  <c r="H21" i="40"/>
  <c r="H26" i="18"/>
  <c r="G33" i="16"/>
  <c r="G32" i="39"/>
  <c r="G17" i="9"/>
  <c r="H26" i="3"/>
  <c r="G31" i="7"/>
  <c r="G40" i="3"/>
  <c r="G48" i="15"/>
  <c r="G16" i="11"/>
  <c r="G15" i="39"/>
  <c r="G56" i="21"/>
  <c r="F38" i="9"/>
  <c r="H38" i="9" s="1"/>
  <c r="H53" i="9"/>
  <c r="H28" i="21"/>
  <c r="G42" i="19"/>
  <c r="H23" i="17"/>
  <c r="H25" i="3"/>
  <c r="H49" i="25"/>
  <c r="H58" i="17"/>
  <c r="G21" i="15"/>
  <c r="G40" i="11"/>
  <c r="H17" i="39"/>
  <c r="H34" i="5"/>
  <c r="G32" i="7"/>
  <c r="F33" i="22"/>
  <c r="G33" i="22" s="1"/>
  <c r="H18" i="21"/>
  <c r="G24" i="7"/>
  <c r="G35" i="9"/>
  <c r="H57" i="9"/>
  <c r="G55" i="30"/>
  <c r="H44" i="17"/>
  <c r="G38" i="25"/>
  <c r="G34" i="17"/>
  <c r="U11" i="27"/>
  <c r="G47" i="3"/>
  <c r="H32" i="40"/>
  <c r="G32" i="40"/>
  <c r="G30" i="16"/>
  <c r="H29" i="25"/>
  <c r="G41" i="3"/>
  <c r="G49" i="15"/>
  <c r="H52" i="7"/>
  <c r="G60" i="9"/>
  <c r="F12" i="39"/>
  <c r="B16" i="27" s="1"/>
  <c r="G28" i="30"/>
  <c r="U19" i="27"/>
  <c r="G44" i="16"/>
  <c r="F36" i="18"/>
  <c r="G36" i="18" s="1"/>
  <c r="H28" i="11"/>
  <c r="H59" i="21"/>
  <c r="H58" i="30"/>
  <c r="G24" i="40"/>
  <c r="G40" i="5"/>
  <c r="G10" i="17"/>
  <c r="G38" i="18"/>
  <c r="G18" i="39"/>
  <c r="G17" i="24"/>
  <c r="G9" i="30"/>
  <c r="G13" i="30" s="1"/>
  <c r="C18" i="27" s="1"/>
  <c r="U10" i="27"/>
  <c r="G27" i="39"/>
  <c r="G42" i="25"/>
  <c r="G17" i="25"/>
  <c r="G23" i="23"/>
  <c r="G58" i="18"/>
  <c r="H58" i="22"/>
  <c r="H23" i="22"/>
  <c r="H29" i="30"/>
  <c r="H56" i="11"/>
  <c r="H43" i="11"/>
  <c r="G17" i="3"/>
  <c r="H57" i="5"/>
  <c r="H62" i="18"/>
  <c r="H9" i="39"/>
  <c r="H12" i="39" s="1"/>
  <c r="D16" i="27" s="1"/>
  <c r="G33" i="11"/>
  <c r="G38" i="15"/>
  <c r="G50" i="5"/>
  <c r="G55" i="11"/>
  <c r="H43" i="17"/>
  <c r="G37" i="22"/>
  <c r="H44" i="18"/>
  <c r="H20" i="18"/>
  <c r="G31" i="11"/>
  <c r="G53" i="30"/>
  <c r="H36" i="22"/>
  <c r="H54" i="5"/>
  <c r="G20" i="9"/>
  <c r="H27" i="11"/>
  <c r="H25" i="5"/>
  <c r="G9" i="11"/>
  <c r="H21" i="22"/>
  <c r="H58" i="3"/>
  <c r="G42" i="30"/>
  <c r="G33" i="5"/>
  <c r="H48" i="18"/>
  <c r="G58" i="16"/>
  <c r="G44" i="22"/>
  <c r="F60" i="17"/>
  <c r="F31" i="19"/>
  <c r="G31" i="19" s="1"/>
  <c r="H23" i="25"/>
  <c r="G42" i="5"/>
  <c r="H34" i="11"/>
  <c r="G47" i="40"/>
  <c r="H25" i="15"/>
  <c r="H53" i="22"/>
  <c r="G24" i="19"/>
  <c r="G29" i="40"/>
  <c r="H39" i="19"/>
  <c r="G20" i="16"/>
  <c r="G42" i="11"/>
  <c r="G54" i="21"/>
  <c r="H32" i="18"/>
  <c r="G29" i="18"/>
  <c r="H9" i="30"/>
  <c r="H13" i="30" s="1"/>
  <c r="D18" i="27" s="1"/>
  <c r="G19" i="30"/>
  <c r="H21" i="9"/>
  <c r="G57" i="22"/>
  <c r="H59" i="22"/>
  <c r="H44" i="9"/>
  <c r="H22" i="30"/>
  <c r="G46" i="3"/>
  <c r="G35" i="21"/>
  <c r="G28" i="22"/>
  <c r="G26" i="39"/>
  <c r="G41" i="17"/>
  <c r="G28" i="3"/>
  <c r="G40" i="17"/>
  <c r="H30" i="24"/>
  <c r="H20" i="23"/>
  <c r="H34" i="18"/>
  <c r="H39" i="3"/>
  <c r="H18" i="7"/>
  <c r="G29" i="24"/>
  <c r="G41" i="24"/>
  <c r="G22" i="40"/>
  <c r="G42" i="21"/>
  <c r="G52" i="24"/>
  <c r="H25" i="23"/>
  <c r="H24" i="22"/>
  <c r="G26" i="24"/>
  <c r="H57" i="11"/>
  <c r="H27" i="40"/>
  <c r="H34" i="16"/>
  <c r="G34" i="16"/>
  <c r="H9" i="19"/>
  <c r="B15" i="27"/>
  <c r="H20" i="21"/>
  <c r="G20" i="21"/>
  <c r="H33" i="15"/>
  <c r="F9" i="24"/>
  <c r="H23" i="40"/>
  <c r="G23" i="40"/>
  <c r="H61" i="3"/>
  <c r="H33" i="30"/>
  <c r="G33" i="30"/>
  <c r="H28" i="24"/>
  <c r="G28" i="24"/>
  <c r="G18" i="9"/>
  <c r="H18" i="9"/>
  <c r="H21" i="39"/>
  <c r="G21" i="39"/>
  <c r="H28" i="39"/>
  <c r="G28" i="39"/>
  <c r="G38" i="3"/>
  <c r="H38" i="3"/>
  <c r="F9" i="18"/>
  <c r="U12" i="27"/>
  <c r="H48" i="40"/>
  <c r="G48" i="40"/>
  <c r="G18" i="3"/>
  <c r="H18" i="3"/>
  <c r="G43" i="21"/>
  <c r="H43" i="21"/>
  <c r="H27" i="18"/>
  <c r="G27" i="18"/>
  <c r="H50" i="25"/>
  <c r="G50" i="25"/>
  <c r="G56" i="34"/>
  <c r="H56" i="34"/>
  <c r="H26" i="16"/>
  <c r="G26" i="16"/>
  <c r="G18" i="19"/>
  <c r="H18" i="19"/>
  <c r="F9" i="17"/>
  <c r="F13" i="17" s="1"/>
  <c r="U21" i="27"/>
  <c r="G54" i="24"/>
  <c r="H54" i="24"/>
  <c r="G40" i="19"/>
  <c r="H40" i="19"/>
  <c r="H52" i="22"/>
  <c r="G52" i="22"/>
  <c r="H29" i="22"/>
  <c r="G29" i="22"/>
  <c r="G28" i="9"/>
  <c r="H28" i="9"/>
  <c r="H37" i="15"/>
  <c r="G37" i="15"/>
  <c r="H24" i="25"/>
  <c r="G24" i="25"/>
  <c r="G33" i="3"/>
  <c r="H33" i="3"/>
  <c r="H23" i="7"/>
  <c r="G23" i="7"/>
  <c r="H56" i="18"/>
  <c r="G56" i="18"/>
  <c r="G31" i="18"/>
  <c r="H31" i="18"/>
  <c r="H53" i="19"/>
  <c r="G53" i="19"/>
  <c r="G44" i="23"/>
  <c r="H44" i="23"/>
  <c r="G17" i="15"/>
  <c r="G32" i="5"/>
  <c r="H32" i="5"/>
  <c r="G18" i="22"/>
  <c r="G40" i="16"/>
  <c r="H40" i="16"/>
  <c r="G35" i="24"/>
  <c r="H35" i="24"/>
  <c r="H41" i="5"/>
  <c r="G41" i="5"/>
  <c r="H46" i="9"/>
  <c r="G46" i="9"/>
  <c r="H36" i="9"/>
  <c r="G36" i="9"/>
  <c r="H18" i="16"/>
  <c r="G18" i="16"/>
  <c r="H15" i="40"/>
  <c r="G24" i="17"/>
  <c r="H58" i="5"/>
  <c r="H30" i="23"/>
  <c r="F37" i="3"/>
  <c r="G37" i="3" s="1"/>
  <c r="H9" i="16"/>
  <c r="G51" i="7"/>
  <c r="H31" i="24"/>
  <c r="G42" i="22"/>
  <c r="G16" i="21"/>
  <c r="H60" i="3"/>
  <c r="G52" i="17"/>
  <c r="H43" i="23"/>
  <c r="G20" i="17"/>
  <c r="G35" i="5"/>
  <c r="G57" i="17"/>
  <c r="G18" i="30"/>
  <c r="H18" i="5"/>
  <c r="H23" i="18"/>
  <c r="G16" i="25"/>
  <c r="G29" i="9"/>
  <c r="G37" i="7"/>
  <c r="G49" i="40"/>
  <c r="G52" i="5"/>
  <c r="H56" i="23"/>
  <c r="H26" i="23"/>
  <c r="H59" i="30"/>
  <c r="U18" i="27"/>
  <c r="G54" i="25"/>
  <c r="G29" i="11"/>
  <c r="H57" i="16"/>
  <c r="F33" i="7"/>
  <c r="F30" i="3"/>
  <c r="G19" i="25"/>
  <c r="H45" i="22"/>
  <c r="H26" i="7"/>
  <c r="F32" i="17"/>
  <c r="G32" i="17" s="1"/>
  <c r="F31" i="40"/>
  <c r="F12" i="34"/>
  <c r="B7" i="27" s="1"/>
  <c r="H32" i="9"/>
  <c r="G16" i="17"/>
  <c r="G24" i="18"/>
  <c r="G28" i="18"/>
  <c r="G21" i="3"/>
  <c r="H31" i="17"/>
  <c r="G16" i="23"/>
  <c r="G21" i="24"/>
  <c r="H51" i="5"/>
  <c r="H58" i="9"/>
  <c r="H51" i="16"/>
  <c r="G17" i="22"/>
  <c r="U9" i="27"/>
  <c r="H46" i="18"/>
  <c r="G37" i="24"/>
  <c r="G42" i="39"/>
  <c r="G52" i="40"/>
  <c r="G53" i="24"/>
  <c r="G40" i="7"/>
  <c r="G21" i="5"/>
  <c r="G58" i="19"/>
  <c r="H45" i="21"/>
  <c r="F34" i="23"/>
  <c r="F33" i="24"/>
  <c r="G60" i="34"/>
  <c r="G27" i="25"/>
  <c r="H50" i="19"/>
  <c r="H26" i="22"/>
  <c r="H22" i="39"/>
  <c r="G41" i="11"/>
  <c r="G51" i="40"/>
  <c r="G51" i="24"/>
  <c r="G25" i="16"/>
  <c r="H47" i="18"/>
  <c r="G16" i="7"/>
  <c r="G54" i="15"/>
  <c r="G56" i="22"/>
  <c r="F57" i="24"/>
  <c r="G23" i="5"/>
  <c r="G21" i="19"/>
  <c r="G52" i="19"/>
  <c r="G37" i="21"/>
  <c r="G35" i="23"/>
  <c r="G34" i="19"/>
  <c r="G53" i="34"/>
  <c r="H15" i="5"/>
  <c r="G53" i="21"/>
  <c r="F59" i="5"/>
  <c r="F64" i="18"/>
  <c r="F32" i="15"/>
  <c r="G38" i="30"/>
  <c r="H38" i="30"/>
  <c r="H36" i="30"/>
  <c r="G36" i="30"/>
  <c r="G20" i="3"/>
  <c r="H20" i="3"/>
  <c r="H9" i="22"/>
  <c r="H12" i="22" s="1"/>
  <c r="D19" i="27" s="1"/>
  <c r="F12" i="22"/>
  <c r="B19" i="27" s="1"/>
  <c r="G9" i="22"/>
  <c r="G12" i="22" s="1"/>
  <c r="C19" i="27" s="1"/>
  <c r="G37" i="30"/>
  <c r="H37" i="30"/>
  <c r="F10" i="9"/>
  <c r="G10" i="9" s="1"/>
  <c r="H40" i="18"/>
  <c r="G40" i="18"/>
  <c r="H50" i="40"/>
  <c r="G50" i="40"/>
  <c r="G17" i="5"/>
  <c r="H17" i="5"/>
  <c r="H30" i="18"/>
  <c r="G30" i="18"/>
  <c r="G54" i="23"/>
  <c r="H54" i="23"/>
  <c r="F62" i="23"/>
  <c r="H39" i="39"/>
  <c r="G39" i="39"/>
  <c r="H26" i="40"/>
  <c r="G26" i="40"/>
  <c r="H9" i="21"/>
  <c r="B17" i="27"/>
  <c r="G9" i="21"/>
  <c r="H24" i="23"/>
  <c r="G48" i="7"/>
  <c r="H48" i="7"/>
  <c r="F57" i="7"/>
  <c r="H51" i="11"/>
  <c r="G51" i="11"/>
  <c r="F60" i="11"/>
  <c r="G35" i="30"/>
  <c r="H35" i="30"/>
  <c r="G29" i="3"/>
  <c r="H29" i="3"/>
  <c r="G55" i="19"/>
  <c r="H24" i="24"/>
  <c r="G24" i="24"/>
  <c r="G19" i="16"/>
  <c r="H19" i="16"/>
  <c r="G17" i="19"/>
  <c r="H17" i="19"/>
  <c r="H33" i="39"/>
  <c r="G33" i="39"/>
  <c r="G19" i="17"/>
  <c r="H19" i="17"/>
  <c r="G36" i="21"/>
  <c r="H36" i="21"/>
  <c r="F59" i="19"/>
  <c r="G54" i="9"/>
  <c r="F62" i="9"/>
  <c r="H54" i="9"/>
  <c r="F60" i="16"/>
  <c r="G35" i="16"/>
  <c r="H35" i="16"/>
  <c r="H25" i="11"/>
  <c r="G35" i="19"/>
  <c r="G27" i="30"/>
  <c r="H27" i="30"/>
  <c r="G16" i="30"/>
  <c r="H16" i="30"/>
  <c r="H61" i="9"/>
  <c r="G61" i="9"/>
  <c r="G28" i="16"/>
  <c r="H23" i="11"/>
  <c r="G42" i="16"/>
  <c r="G33" i="9"/>
  <c r="G28" i="7"/>
  <c r="G26" i="21"/>
  <c r="H26" i="21"/>
  <c r="H31" i="30"/>
  <c r="G31" i="30"/>
  <c r="H36" i="40"/>
  <c r="G36" i="40"/>
  <c r="H33" i="40"/>
  <c r="G33" i="40"/>
  <c r="H10" i="3"/>
  <c r="G10" i="3"/>
  <c r="B11" i="27"/>
  <c r="G30" i="5"/>
  <c r="H30" i="5"/>
  <c r="H59" i="23"/>
  <c r="G59" i="23"/>
  <c r="H33" i="23"/>
  <c r="G33" i="23"/>
  <c r="H41" i="19"/>
  <c r="G41" i="19"/>
  <c r="H24" i="39"/>
  <c r="H53" i="39"/>
  <c r="G53" i="39"/>
  <c r="F59" i="39"/>
  <c r="H54" i="16"/>
  <c r="G54" i="16"/>
  <c r="G37" i="23"/>
  <c r="H37" i="23"/>
  <c r="F56" i="15"/>
  <c r="H51" i="15"/>
  <c r="H32" i="21"/>
  <c r="G32" i="21"/>
  <c r="H55" i="22"/>
  <c r="F61" i="22"/>
  <c r="H41" i="22"/>
  <c r="G41" i="22"/>
  <c r="H25" i="22"/>
  <c r="G25" i="22"/>
  <c r="G51" i="15"/>
  <c r="H46" i="30"/>
  <c r="G46" i="30"/>
  <c r="G25" i="9"/>
  <c r="H25" i="9"/>
  <c r="H23" i="15"/>
  <c r="G23" i="15"/>
  <c r="H32" i="3"/>
  <c r="G32" i="3"/>
  <c r="G9" i="15"/>
  <c r="G12" i="15" s="1"/>
  <c r="C25" i="27" s="1"/>
  <c r="H9" i="15"/>
  <c r="H12" i="15" s="1"/>
  <c r="D25" i="27" s="1"/>
  <c r="G37" i="18"/>
  <c r="H37" i="18"/>
  <c r="G32" i="19"/>
  <c r="H32" i="19"/>
  <c r="G41" i="25"/>
  <c r="G43" i="30"/>
  <c r="G26" i="30"/>
  <c r="H46" i="21"/>
  <c r="H17" i="23"/>
  <c r="H36" i="23"/>
  <c r="H30" i="30"/>
  <c r="G31" i="23"/>
  <c r="G59" i="16"/>
  <c r="G57" i="21"/>
  <c r="H35" i="17"/>
  <c r="U25" i="27"/>
  <c r="G30" i="25"/>
  <c r="H27" i="23"/>
  <c r="H54" i="30"/>
  <c r="G54" i="30"/>
  <c r="G41" i="7"/>
  <c r="H41" i="7"/>
  <c r="H29" i="7"/>
  <c r="G29" i="7"/>
  <c r="H51" i="39"/>
  <c r="G51" i="39"/>
  <c r="H35" i="7"/>
  <c r="G35" i="7"/>
  <c r="H35" i="39"/>
  <c r="G35" i="39"/>
  <c r="H28" i="5"/>
  <c r="H38" i="7"/>
  <c r="H22" i="17"/>
  <c r="F62" i="34"/>
  <c r="G61" i="34"/>
  <c r="G29" i="19"/>
  <c r="G54" i="19"/>
  <c r="H27" i="9"/>
  <c r="G25" i="25"/>
  <c r="G35" i="25"/>
  <c r="H45" i="18"/>
  <c r="H34" i="15"/>
  <c r="G35" i="40"/>
  <c r="G50" i="24"/>
  <c r="H54" i="17"/>
  <c r="G54" i="17"/>
  <c r="H60" i="21"/>
  <c r="G60" i="21"/>
  <c r="H9" i="40"/>
  <c r="H12" i="40" s="1"/>
  <c r="D26" i="27" s="1"/>
  <c r="G9" i="40"/>
  <c r="G12" i="40" s="1"/>
  <c r="C26" i="27" s="1"/>
  <c r="H35" i="11"/>
  <c r="G35" i="11"/>
  <c r="G38" i="24"/>
  <c r="G30" i="15"/>
  <c r="H63" i="18"/>
  <c r="F62" i="30"/>
  <c r="H26" i="17"/>
  <c r="G26" i="11"/>
  <c r="F55" i="40"/>
  <c r="H19" i="5"/>
  <c r="G29" i="15"/>
  <c r="G22" i="24"/>
  <c r="G49" i="7"/>
  <c r="H29" i="5"/>
  <c r="H57" i="34"/>
  <c r="G57" i="34"/>
  <c r="G25" i="7"/>
  <c r="G56" i="39"/>
  <c r="H56" i="39"/>
  <c r="H45" i="3"/>
  <c r="G40" i="9"/>
  <c r="H40" i="9"/>
  <c r="G39" i="18"/>
  <c r="H36" i="16"/>
  <c r="G36" i="16"/>
  <c r="H55" i="24"/>
  <c r="H25" i="19"/>
  <c r="G25" i="19"/>
  <c r="F65" i="3"/>
  <c r="G27" i="21"/>
  <c r="F62" i="21"/>
  <c r="G31" i="22"/>
  <c r="G23" i="30"/>
  <c r="H58" i="21"/>
  <c r="G40" i="39"/>
  <c r="G46" i="23"/>
  <c r="H30" i="19"/>
  <c r="G30" i="19"/>
  <c r="H23" i="19"/>
  <c r="H54" i="40"/>
  <c r="G54" i="40"/>
  <c r="H31" i="3"/>
  <c r="H55" i="39"/>
  <c r="G55" i="39"/>
  <c r="G60" i="22"/>
  <c r="H59" i="3"/>
  <c r="G52" i="16"/>
  <c r="G9" i="19"/>
  <c r="H38" i="40"/>
  <c r="G18" i="17"/>
  <c r="G29" i="39"/>
  <c r="G41" i="39"/>
  <c r="H55" i="17"/>
  <c r="H43" i="5"/>
  <c r="H55" i="34"/>
  <c r="H50" i="39"/>
  <c r="G50" i="39"/>
  <c r="H30" i="40"/>
  <c r="G30" i="40"/>
  <c r="F9" i="5"/>
  <c r="F12" i="5" s="1"/>
  <c r="U13" i="27"/>
  <c r="G53" i="17"/>
  <c r="G56" i="30"/>
  <c r="G29" i="21"/>
  <c r="G56" i="16"/>
  <c r="H30" i="21"/>
  <c r="H25" i="21"/>
  <c r="H22" i="19"/>
  <c r="G58" i="34"/>
  <c r="G63" i="3"/>
  <c r="F31" i="5"/>
  <c r="H25" i="17"/>
  <c r="G25" i="17"/>
  <c r="G17" i="21"/>
  <c r="H17" i="21"/>
  <c r="G24" i="5"/>
  <c r="H24" i="5"/>
  <c r="H52" i="34"/>
  <c r="G52" i="34"/>
  <c r="H59" i="11"/>
  <c r="G59" i="11"/>
  <c r="H34" i="39"/>
  <c r="G34" i="39"/>
  <c r="G28" i="17"/>
  <c r="G42" i="17"/>
  <c r="H56" i="19"/>
  <c r="G55" i="22"/>
  <c r="F58" i="25"/>
  <c r="H27" i="24"/>
  <c r="H31" i="25"/>
  <c r="H53" i="11"/>
  <c r="H55" i="16"/>
  <c r="H36" i="25"/>
  <c r="F34" i="21"/>
  <c r="H59" i="9"/>
  <c r="G59" i="9"/>
  <c r="H26" i="15"/>
  <c r="G26" i="15"/>
  <c r="H10" i="7"/>
  <c r="G10" i="7"/>
  <c r="H19" i="23"/>
  <c r="G19" i="23"/>
  <c r="F32" i="11"/>
  <c r="F72" i="68" l="1"/>
  <c r="F74" i="68"/>
  <c r="F73" i="68"/>
  <c r="F75" i="68"/>
  <c r="F71" i="68"/>
  <c r="F61" i="69"/>
  <c r="F63" i="69" s="1"/>
  <c r="G75" i="68"/>
  <c r="G71" i="68"/>
  <c r="G73" i="68"/>
  <c r="G72" i="68"/>
  <c r="G74" i="68"/>
  <c r="H13" i="7"/>
  <c r="D28" i="27" s="1"/>
  <c r="G13" i="7"/>
  <c r="C28" i="27" s="1"/>
  <c r="F12" i="18"/>
  <c r="B12" i="27" s="1"/>
  <c r="G13" i="3"/>
  <c r="C11" i="27" s="1"/>
  <c r="G13" i="9"/>
  <c r="C24" i="27" s="1"/>
  <c r="F13" i="9"/>
  <c r="H12" i="9"/>
  <c r="H12" i="16"/>
  <c r="D10" i="27" s="1"/>
  <c r="G12" i="16"/>
  <c r="C10" i="27" s="1"/>
  <c r="G12" i="11"/>
  <c r="C9" i="27" s="1"/>
  <c r="H12" i="11"/>
  <c r="D9" i="27" s="1"/>
  <c r="H12" i="3"/>
  <c r="H13" i="3" s="1"/>
  <c r="D11" i="27" s="1"/>
  <c r="H12" i="21"/>
  <c r="D17" i="27" s="1"/>
  <c r="G12" i="21"/>
  <c r="C17" i="27" s="1"/>
  <c r="G12" i="19"/>
  <c r="C15" i="27" s="1"/>
  <c r="H12" i="19"/>
  <c r="D15" i="27" s="1"/>
  <c r="J14" i="27"/>
  <c r="Q14" i="27" s="1"/>
  <c r="H56" i="15"/>
  <c r="H30" i="9"/>
  <c r="G34" i="25"/>
  <c r="G43" i="25" s="1"/>
  <c r="G45" i="25" s="1"/>
  <c r="E23" i="27"/>
  <c r="E155" i="68"/>
  <c r="E154" i="68"/>
  <c r="E156" i="68"/>
  <c r="E152" i="68"/>
  <c r="E153" i="68"/>
  <c r="H55" i="40"/>
  <c r="H31" i="9"/>
  <c r="H57" i="7"/>
  <c r="O14" i="27"/>
  <c r="H18" i="66" s="1"/>
  <c r="H60" i="17"/>
  <c r="G65" i="3"/>
  <c r="G62" i="23"/>
  <c r="F49" i="9"/>
  <c r="F47" i="17"/>
  <c r="G44" i="19"/>
  <c r="H46" i="34"/>
  <c r="H48" i="34" s="1"/>
  <c r="H44" i="39"/>
  <c r="H46" i="39" s="1"/>
  <c r="G16" i="27" s="1"/>
  <c r="J16" i="27" s="1"/>
  <c r="G46" i="22"/>
  <c r="G48" i="22" s="1"/>
  <c r="F47" i="16"/>
  <c r="F49" i="30"/>
  <c r="G46" i="34"/>
  <c r="G48" i="34" s="1"/>
  <c r="F46" i="39"/>
  <c r="H47" i="30"/>
  <c r="H49" i="30" s="1"/>
  <c r="G18" i="27" s="1"/>
  <c r="G50" i="3"/>
  <c r="F46" i="19"/>
  <c r="F44" i="24"/>
  <c r="F46" i="5"/>
  <c r="H47" i="9"/>
  <c r="H43" i="25"/>
  <c r="H45" i="25" s="1"/>
  <c r="G23" i="27" s="1"/>
  <c r="G45" i="16"/>
  <c r="G47" i="16" s="1"/>
  <c r="F49" i="23"/>
  <c r="E19" i="68" s="1"/>
  <c r="F51" i="18"/>
  <c r="E53" i="68" s="1"/>
  <c r="F42" i="40"/>
  <c r="F43" i="15"/>
  <c r="F48" i="22"/>
  <c r="F44" i="7"/>
  <c r="G45" i="17"/>
  <c r="G47" i="17" s="1"/>
  <c r="F52" i="3"/>
  <c r="G49" i="18"/>
  <c r="G51" i="18" s="1"/>
  <c r="G18" i="66"/>
  <c r="K14" i="27"/>
  <c r="W14" i="27" s="1"/>
  <c r="G60" i="69"/>
  <c r="F14" i="27"/>
  <c r="I14" i="27" s="1"/>
  <c r="E7" i="27"/>
  <c r="E12" i="68"/>
  <c r="E11" i="68"/>
  <c r="E8" i="68"/>
  <c r="E9" i="68"/>
  <c r="E10" i="68"/>
  <c r="F63" i="34"/>
  <c r="G31" i="39"/>
  <c r="G44" i="39" s="1"/>
  <c r="H34" i="23"/>
  <c r="H9" i="25"/>
  <c r="H12" i="25" s="1"/>
  <c r="D23" i="27" s="1"/>
  <c r="F12" i="25"/>
  <c r="B23" i="27" s="1"/>
  <c r="G38" i="9"/>
  <c r="G47" i="9" s="1"/>
  <c r="G33" i="7"/>
  <c r="G42" i="7" s="1"/>
  <c r="H32" i="16"/>
  <c r="H45" i="16" s="1"/>
  <c r="H33" i="7"/>
  <c r="H42" i="7" s="1"/>
  <c r="G34" i="23"/>
  <c r="G47" i="23" s="1"/>
  <c r="G32" i="15"/>
  <c r="G41" i="15" s="1"/>
  <c r="H32" i="15"/>
  <c r="H41" i="15" s="1"/>
  <c r="H36" i="18"/>
  <c r="H49" i="18" s="1"/>
  <c r="G34" i="30"/>
  <c r="G47" i="30" s="1"/>
  <c r="H60" i="69"/>
  <c r="H47" i="69"/>
  <c r="G47" i="69"/>
  <c r="H33" i="22"/>
  <c r="H46" i="22" s="1"/>
  <c r="H59" i="5"/>
  <c r="H64" i="18"/>
  <c r="G64" i="18"/>
  <c r="H57" i="24"/>
  <c r="G59" i="5"/>
  <c r="G62" i="21"/>
  <c r="G57" i="24"/>
  <c r="H58" i="25"/>
  <c r="H62" i="34"/>
  <c r="H60" i="16"/>
  <c r="G59" i="39"/>
  <c r="H31" i="19"/>
  <c r="H44" i="19" s="1"/>
  <c r="G58" i="25"/>
  <c r="H65" i="3"/>
  <c r="H62" i="23"/>
  <c r="H32" i="17"/>
  <c r="H45" i="17" s="1"/>
  <c r="H61" i="22"/>
  <c r="G56" i="15"/>
  <c r="G55" i="40"/>
  <c r="F12" i="24"/>
  <c r="B27" i="27" s="1"/>
  <c r="G9" i="24"/>
  <c r="G12" i="24" s="1"/>
  <c r="C27" i="27" s="1"/>
  <c r="H9" i="24"/>
  <c r="H12" i="24" s="1"/>
  <c r="D27" i="27" s="1"/>
  <c r="B21" i="27"/>
  <c r="H9" i="17"/>
  <c r="G9" i="17"/>
  <c r="H31" i="40"/>
  <c r="H40" i="40" s="1"/>
  <c r="G31" i="40"/>
  <c r="G40" i="40" s="1"/>
  <c r="G59" i="19"/>
  <c r="H9" i="18"/>
  <c r="G9" i="18"/>
  <c r="G62" i="30"/>
  <c r="H62" i="9"/>
  <c r="H62" i="21"/>
  <c r="B24" i="27"/>
  <c r="G60" i="17"/>
  <c r="G60" i="16"/>
  <c r="H62" i="30"/>
  <c r="G61" i="22"/>
  <c r="G62" i="34"/>
  <c r="H10" i="9"/>
  <c r="H37" i="3"/>
  <c r="H50" i="3" s="1"/>
  <c r="H33" i="24"/>
  <c r="H42" i="24" s="1"/>
  <c r="G33" i="24"/>
  <c r="G42" i="24" s="1"/>
  <c r="H30" i="3"/>
  <c r="G30" i="3"/>
  <c r="H59" i="19"/>
  <c r="F59" i="25"/>
  <c r="F49" i="34"/>
  <c r="H31" i="5"/>
  <c r="H44" i="5" s="1"/>
  <c r="G31" i="5"/>
  <c r="G44" i="5" s="1"/>
  <c r="H9" i="5"/>
  <c r="G9" i="5"/>
  <c r="B13" i="27"/>
  <c r="H60" i="11"/>
  <c r="F49" i="21"/>
  <c r="H59" i="39"/>
  <c r="G62" i="9"/>
  <c r="G60" i="11"/>
  <c r="G57" i="7"/>
  <c r="G32" i="11"/>
  <c r="G45" i="11" s="1"/>
  <c r="H32" i="11"/>
  <c r="H45" i="11" s="1"/>
  <c r="F47" i="11"/>
  <c r="H34" i="21"/>
  <c r="H47" i="21" s="1"/>
  <c r="G34" i="21"/>
  <c r="G47" i="21" s="1"/>
  <c r="E90" i="68" l="1"/>
  <c r="E92" i="68"/>
  <c r="E89" i="68"/>
  <c r="E91" i="68"/>
  <c r="E93" i="68"/>
  <c r="E173" i="68"/>
  <c r="E172" i="68"/>
  <c r="E171" i="68"/>
  <c r="E174" i="68"/>
  <c r="E170" i="68"/>
  <c r="E65" i="68"/>
  <c r="E63" i="68"/>
  <c r="E66" i="68"/>
  <c r="E62" i="68"/>
  <c r="E64" i="68"/>
  <c r="H74" i="68"/>
  <c r="H72" i="68"/>
  <c r="H75" i="68"/>
  <c r="H71" i="68"/>
  <c r="H73" i="68"/>
  <c r="I73" i="68"/>
  <c r="I75" i="68"/>
  <c r="I71" i="68"/>
  <c r="I74" i="68"/>
  <c r="I72" i="68"/>
  <c r="G12" i="18"/>
  <c r="C12" i="27" s="1"/>
  <c r="H12" i="18"/>
  <c r="D12" i="27" s="1"/>
  <c r="H13" i="9"/>
  <c r="D24" i="27" s="1"/>
  <c r="H13" i="17"/>
  <c r="D21" i="27" s="1"/>
  <c r="G13" i="17"/>
  <c r="C21" i="27" s="1"/>
  <c r="H12" i="5"/>
  <c r="D13" i="27" s="1"/>
  <c r="G12" i="5"/>
  <c r="C13" i="27" s="1"/>
  <c r="E162" i="68"/>
  <c r="E163" i="68"/>
  <c r="E164" i="68"/>
  <c r="E165" i="68"/>
  <c r="E161" i="68"/>
  <c r="E46" i="68"/>
  <c r="E44" i="68"/>
  <c r="E47" i="68"/>
  <c r="E48" i="68"/>
  <c r="E45" i="68"/>
  <c r="H49" i="9"/>
  <c r="G24" i="27" s="1"/>
  <c r="E28" i="27"/>
  <c r="H28" i="27" s="1"/>
  <c r="G32" i="66" s="1"/>
  <c r="E197" i="68"/>
  <c r="E201" i="68"/>
  <c r="E200" i="68"/>
  <c r="E198" i="68"/>
  <c r="E199" i="68"/>
  <c r="F23" i="27"/>
  <c r="I23" i="27" s="1"/>
  <c r="F152" i="68"/>
  <c r="F154" i="68"/>
  <c r="F155" i="68"/>
  <c r="F153" i="68"/>
  <c r="F156" i="68"/>
  <c r="K23" i="27"/>
  <c r="W23" i="27" s="1"/>
  <c r="G154" i="68"/>
  <c r="G156" i="68"/>
  <c r="G152" i="68"/>
  <c r="G155" i="68"/>
  <c r="G153" i="68"/>
  <c r="E25" i="27"/>
  <c r="H25" i="27" s="1"/>
  <c r="F58" i="24"/>
  <c r="F59" i="24" s="1"/>
  <c r="E191" i="68"/>
  <c r="E190" i="68"/>
  <c r="E189" i="68"/>
  <c r="E192" i="68"/>
  <c r="E188" i="68"/>
  <c r="E182" i="68"/>
  <c r="E181" i="68"/>
  <c r="E179" i="68"/>
  <c r="E183" i="68"/>
  <c r="E180" i="68"/>
  <c r="Q16" i="27"/>
  <c r="P14" i="27"/>
  <c r="I18" i="66"/>
  <c r="W18" i="66" s="1"/>
  <c r="E27" i="27"/>
  <c r="F45" i="7"/>
  <c r="E17" i="68"/>
  <c r="E18" i="68"/>
  <c r="E21" i="68"/>
  <c r="E8" i="27"/>
  <c r="H8" i="27" s="1"/>
  <c r="F58" i="7"/>
  <c r="E20" i="68"/>
  <c r="F60" i="5"/>
  <c r="F50" i="23"/>
  <c r="E13" i="27"/>
  <c r="H13" i="27" s="1"/>
  <c r="F63" i="23"/>
  <c r="G19" i="68" s="1"/>
  <c r="F56" i="40"/>
  <c r="K26" i="27" s="1"/>
  <c r="W26" i="27" s="1"/>
  <c r="E26" i="27"/>
  <c r="H26" i="27" s="1"/>
  <c r="F43" i="40"/>
  <c r="F57" i="15"/>
  <c r="F44" i="15"/>
  <c r="H51" i="18"/>
  <c r="H47" i="23"/>
  <c r="H49" i="23" s="1"/>
  <c r="E12" i="27"/>
  <c r="H12" i="27" s="1"/>
  <c r="E56" i="68"/>
  <c r="E55" i="68"/>
  <c r="E57" i="68"/>
  <c r="E54" i="68"/>
  <c r="F19" i="27"/>
  <c r="I19" i="27" s="1"/>
  <c r="F117" i="68"/>
  <c r="F116" i="68"/>
  <c r="F119" i="68"/>
  <c r="F120" i="68"/>
  <c r="F118" i="68"/>
  <c r="L14" i="27"/>
  <c r="X14" i="27" s="1"/>
  <c r="E9" i="27"/>
  <c r="H9" i="27" s="1"/>
  <c r="E26" i="68"/>
  <c r="E28" i="68"/>
  <c r="E30" i="68"/>
  <c r="E29" i="68"/>
  <c r="E27" i="68"/>
  <c r="F45" i="24"/>
  <c r="G61" i="69"/>
  <c r="G63" i="69" s="1"/>
  <c r="E15" i="27"/>
  <c r="H15" i="27" s="1"/>
  <c r="E81" i="68"/>
  <c r="E82" i="68"/>
  <c r="E84" i="68"/>
  <c r="E80" i="68"/>
  <c r="E83" i="68"/>
  <c r="E10" i="27"/>
  <c r="H10" i="27" s="1"/>
  <c r="E36" i="68"/>
  <c r="E37" i="68"/>
  <c r="E38" i="68"/>
  <c r="E39" i="68"/>
  <c r="E35" i="68"/>
  <c r="R14" i="27"/>
  <c r="F21" i="27"/>
  <c r="F134" i="68"/>
  <c r="F138" i="68"/>
  <c r="F136" i="68"/>
  <c r="F137" i="68"/>
  <c r="F135" i="68"/>
  <c r="H61" i="69"/>
  <c r="H63" i="69" s="1"/>
  <c r="M14" i="27"/>
  <c r="Y14" i="27" s="1"/>
  <c r="F46" i="25"/>
  <c r="E11" i="27"/>
  <c r="H11" i="27" s="1"/>
  <c r="E18" i="27"/>
  <c r="H18" i="27" s="1"/>
  <c r="E110" i="68"/>
  <c r="E111" i="68"/>
  <c r="E108" i="68"/>
  <c r="E107" i="68"/>
  <c r="E109" i="68"/>
  <c r="E21" i="27"/>
  <c r="H21" i="27" s="1"/>
  <c r="E134" i="68"/>
  <c r="E135" i="68"/>
  <c r="E136" i="68"/>
  <c r="E137" i="68"/>
  <c r="E138" i="68"/>
  <c r="F49" i="22"/>
  <c r="E19" i="27"/>
  <c r="H19" i="27" s="1"/>
  <c r="E117" i="68"/>
  <c r="E116" i="68"/>
  <c r="E119" i="68"/>
  <c r="E120" i="68"/>
  <c r="E118" i="68"/>
  <c r="F60" i="39"/>
  <c r="E16" i="27"/>
  <c r="H16" i="27" s="1"/>
  <c r="E17" i="27"/>
  <c r="H17" i="27" s="1"/>
  <c r="E100" i="68"/>
  <c r="E102" i="68"/>
  <c r="E98" i="68"/>
  <c r="E101" i="68"/>
  <c r="E99" i="68"/>
  <c r="F63" i="9"/>
  <c r="E24" i="27"/>
  <c r="H24" i="27" s="1"/>
  <c r="F10" i="27"/>
  <c r="I10" i="27" s="1"/>
  <c r="F38" i="68"/>
  <c r="F37" i="68"/>
  <c r="F36" i="68"/>
  <c r="F35" i="68"/>
  <c r="F39" i="68"/>
  <c r="F12" i="27"/>
  <c r="F54" i="68"/>
  <c r="F55" i="68"/>
  <c r="F57" i="68"/>
  <c r="F53" i="68"/>
  <c r="F56" i="68"/>
  <c r="F64" i="34"/>
  <c r="F66" i="34" s="1"/>
  <c r="K7" i="27"/>
  <c r="W7" i="27" s="1"/>
  <c r="G10" i="68"/>
  <c r="G9" i="68"/>
  <c r="G11" i="68"/>
  <c r="G12" i="68"/>
  <c r="G8" i="68"/>
  <c r="F7" i="27"/>
  <c r="F10" i="68"/>
  <c r="F9" i="68"/>
  <c r="F8" i="68"/>
  <c r="F12" i="68"/>
  <c r="F11" i="68"/>
  <c r="H49" i="34"/>
  <c r="G7" i="27"/>
  <c r="G46" i="39"/>
  <c r="G49" i="23"/>
  <c r="G42" i="40"/>
  <c r="F66" i="3"/>
  <c r="H47" i="16"/>
  <c r="G49" i="21"/>
  <c r="G50" i="21" s="1"/>
  <c r="H48" i="22"/>
  <c r="G19" i="27" s="1"/>
  <c r="H44" i="7"/>
  <c r="H42" i="40"/>
  <c r="G26" i="27" s="1"/>
  <c r="J26" i="27" s="1"/>
  <c r="G49" i="9"/>
  <c r="H44" i="24"/>
  <c r="G27" i="27" s="1"/>
  <c r="G44" i="7"/>
  <c r="G49" i="30"/>
  <c r="G43" i="15"/>
  <c r="H43" i="15"/>
  <c r="G25" i="27" s="1"/>
  <c r="G52" i="3"/>
  <c r="F47" i="39"/>
  <c r="F60" i="19"/>
  <c r="H46" i="19"/>
  <c r="G15" i="27" s="1"/>
  <c r="G46" i="19"/>
  <c r="F65" i="18"/>
  <c r="F52" i="18"/>
  <c r="F47" i="19"/>
  <c r="F61" i="16"/>
  <c r="F48" i="16"/>
  <c r="F61" i="17"/>
  <c r="F50" i="9"/>
  <c r="F63" i="30"/>
  <c r="F50" i="30"/>
  <c r="H63" i="34"/>
  <c r="F53" i="3"/>
  <c r="G52" i="18"/>
  <c r="F62" i="22"/>
  <c r="F48" i="17"/>
  <c r="G46" i="25"/>
  <c r="H47" i="17"/>
  <c r="G21" i="27" s="1"/>
  <c r="G65" i="18"/>
  <c r="G49" i="22"/>
  <c r="F60" i="25"/>
  <c r="H52" i="3"/>
  <c r="G44" i="24"/>
  <c r="G59" i="25"/>
  <c r="G62" i="22"/>
  <c r="F63" i="21"/>
  <c r="F50" i="21"/>
  <c r="H49" i="21"/>
  <c r="G48" i="16"/>
  <c r="G61" i="16"/>
  <c r="F47" i="5"/>
  <c r="H7" i="27"/>
  <c r="H63" i="30"/>
  <c r="H50" i="30"/>
  <c r="J18" i="27"/>
  <c r="F48" i="11"/>
  <c r="F61" i="11"/>
  <c r="J23" i="27"/>
  <c r="H59" i="25"/>
  <c r="H46" i="25"/>
  <c r="H60" i="39"/>
  <c r="H47" i="39"/>
  <c r="G61" i="17"/>
  <c r="G63" i="34"/>
  <c r="G49" i="34"/>
  <c r="H47" i="11"/>
  <c r="G9" i="27" s="1"/>
  <c r="G47" i="11"/>
  <c r="I12" i="27" l="1"/>
  <c r="P12" i="27" s="1"/>
  <c r="H52" i="18"/>
  <c r="O24" i="66"/>
  <c r="V24" i="66" s="1"/>
  <c r="F172" i="68"/>
  <c r="F171" i="68"/>
  <c r="F174" i="68"/>
  <c r="F170" i="68"/>
  <c r="F173" i="68"/>
  <c r="G171" i="68"/>
  <c r="G174" i="68"/>
  <c r="G170" i="68"/>
  <c r="G173" i="68"/>
  <c r="G172" i="68"/>
  <c r="G48" i="17"/>
  <c r="K13" i="27"/>
  <c r="W13" i="27" s="1"/>
  <c r="G63" i="68"/>
  <c r="G65" i="68"/>
  <c r="G64" i="68"/>
  <c r="G66" i="68"/>
  <c r="G62" i="68"/>
  <c r="J24" i="27"/>
  <c r="I21" i="27"/>
  <c r="P21" i="27" s="1"/>
  <c r="G164" i="68"/>
  <c r="G165" i="68"/>
  <c r="G162" i="68"/>
  <c r="G161" i="68"/>
  <c r="G163" i="68"/>
  <c r="F165" i="68"/>
  <c r="F162" i="68"/>
  <c r="F163" i="68"/>
  <c r="F161" i="68"/>
  <c r="F164" i="68"/>
  <c r="F11" i="27"/>
  <c r="I11" i="27" s="1"/>
  <c r="F48" i="68"/>
  <c r="F47" i="68"/>
  <c r="F45" i="68"/>
  <c r="F44" i="68"/>
  <c r="F46" i="68"/>
  <c r="G48" i="68"/>
  <c r="G46" i="68"/>
  <c r="G47" i="68"/>
  <c r="G44" i="68"/>
  <c r="G45" i="68"/>
  <c r="H63" i="9"/>
  <c r="H50" i="9"/>
  <c r="F26" i="27"/>
  <c r="I26" i="27" s="1"/>
  <c r="F181" i="68"/>
  <c r="F179" i="68"/>
  <c r="F182" i="68"/>
  <c r="F183" i="68"/>
  <c r="F180" i="68"/>
  <c r="K24" i="27"/>
  <c r="W24" i="27" s="1"/>
  <c r="G89" i="68"/>
  <c r="G92" i="68"/>
  <c r="G90" i="68"/>
  <c r="G93" i="68"/>
  <c r="G91" i="68"/>
  <c r="F57" i="40"/>
  <c r="F59" i="40" s="1"/>
  <c r="G182" i="68"/>
  <c r="G183" i="68"/>
  <c r="G180" i="68"/>
  <c r="G181" i="68"/>
  <c r="G179" i="68"/>
  <c r="M23" i="27"/>
  <c r="Y23" i="27" s="1"/>
  <c r="I152" i="68"/>
  <c r="I156" i="68"/>
  <c r="I153" i="68"/>
  <c r="I154" i="68"/>
  <c r="I155" i="68"/>
  <c r="F27" i="27"/>
  <c r="I27" i="27" s="1"/>
  <c r="F192" i="68"/>
  <c r="F190" i="68"/>
  <c r="F188" i="68"/>
  <c r="F189" i="68"/>
  <c r="F191" i="68"/>
  <c r="F25" i="27"/>
  <c r="I25" i="27" s="1"/>
  <c r="K28" i="27"/>
  <c r="W28" i="27" s="1"/>
  <c r="G201" i="68"/>
  <c r="G198" i="68"/>
  <c r="G199" i="68"/>
  <c r="G200" i="68"/>
  <c r="G197" i="68"/>
  <c r="L23" i="27"/>
  <c r="X23" i="27" s="1"/>
  <c r="H155" i="68"/>
  <c r="H153" i="68"/>
  <c r="H152" i="68"/>
  <c r="H156" i="68"/>
  <c r="H154" i="68"/>
  <c r="F93" i="68"/>
  <c r="F92" i="68"/>
  <c r="F89" i="68"/>
  <c r="F91" i="68"/>
  <c r="F90" i="68"/>
  <c r="K27" i="27"/>
  <c r="W27" i="27" s="1"/>
  <c r="G191" i="68"/>
  <c r="G189" i="68"/>
  <c r="G192" i="68"/>
  <c r="G190" i="68"/>
  <c r="G188" i="68"/>
  <c r="I93" i="68"/>
  <c r="I92" i="68"/>
  <c r="I90" i="68"/>
  <c r="I89" i="68"/>
  <c r="I91" i="68"/>
  <c r="F201" i="68"/>
  <c r="F200" i="68"/>
  <c r="F197" i="68"/>
  <c r="F199" i="68"/>
  <c r="F198" i="68"/>
  <c r="G29" i="66"/>
  <c r="G30" i="66"/>
  <c r="O9" i="27"/>
  <c r="H13" i="66" s="1"/>
  <c r="O18" i="27"/>
  <c r="H22" i="66" s="1"/>
  <c r="O12" i="27"/>
  <c r="H16" i="66" s="1"/>
  <c r="O11" i="27"/>
  <c r="H15" i="66" s="1"/>
  <c r="O17" i="27"/>
  <c r="H21" i="66" s="1"/>
  <c r="O13" i="27"/>
  <c r="H17" i="66" s="1"/>
  <c r="O15" i="27"/>
  <c r="H19" i="66" s="1"/>
  <c r="O10" i="27"/>
  <c r="H14" i="66" s="1"/>
  <c r="Q18" i="27"/>
  <c r="O21" i="27"/>
  <c r="H25" i="66" s="1"/>
  <c r="P19" i="27"/>
  <c r="P10" i="27"/>
  <c r="O16" i="27"/>
  <c r="H20" i="66" s="1"/>
  <c r="O19" i="27"/>
  <c r="H23" i="66" s="1"/>
  <c r="O7" i="27"/>
  <c r="H11" i="66" s="1"/>
  <c r="O20" i="66"/>
  <c r="O23" i="66"/>
  <c r="O15" i="66"/>
  <c r="O25" i="66"/>
  <c r="O12" i="66"/>
  <c r="O19" i="66"/>
  <c r="O17" i="66"/>
  <c r="O22" i="66"/>
  <c r="O14" i="66"/>
  <c r="O26" i="66"/>
  <c r="V26" i="66" s="1"/>
  <c r="O16" i="66"/>
  <c r="O13" i="66"/>
  <c r="O21" i="66"/>
  <c r="O18" i="66"/>
  <c r="V18" i="66" s="1"/>
  <c r="G12" i="66"/>
  <c r="O8" i="27"/>
  <c r="H12" i="66" s="1"/>
  <c r="H65" i="18"/>
  <c r="H66" i="18" s="1"/>
  <c r="H68" i="18" s="1"/>
  <c r="G12" i="27"/>
  <c r="J12" i="27" s="1"/>
  <c r="G20" i="68"/>
  <c r="F59" i="7"/>
  <c r="F61" i="7" s="1"/>
  <c r="F61" i="5"/>
  <c r="F63" i="5" s="1"/>
  <c r="F64" i="9"/>
  <c r="F66" i="9" s="1"/>
  <c r="G17" i="66"/>
  <c r="G18" i="68"/>
  <c r="G21" i="68"/>
  <c r="K8" i="27"/>
  <c r="W8" i="27" s="1"/>
  <c r="F64" i="23"/>
  <c r="F66" i="23" s="1"/>
  <c r="G17" i="68"/>
  <c r="G8" i="27"/>
  <c r="J8" i="27" s="1"/>
  <c r="H63" i="23"/>
  <c r="M8" i="27" s="1"/>
  <c r="Y8" i="27" s="1"/>
  <c r="H50" i="23"/>
  <c r="K25" i="27"/>
  <c r="W25" i="27" s="1"/>
  <c r="F58" i="15"/>
  <c r="F60" i="15" s="1"/>
  <c r="G14" i="66"/>
  <c r="G22" i="66"/>
  <c r="G16" i="66"/>
  <c r="F8" i="27"/>
  <c r="I8" i="27" s="1"/>
  <c r="F20" i="68"/>
  <c r="F19" i="68"/>
  <c r="F18" i="68"/>
  <c r="F17" i="68"/>
  <c r="F21" i="68"/>
  <c r="F61" i="39"/>
  <c r="F63" i="39" s="1"/>
  <c r="K16" i="27"/>
  <c r="W16" i="27" s="1"/>
  <c r="G60" i="19"/>
  <c r="F15" i="27"/>
  <c r="I15" i="27" s="1"/>
  <c r="F83" i="68"/>
  <c r="F80" i="68"/>
  <c r="F84" i="68"/>
  <c r="F82" i="68"/>
  <c r="F81" i="68"/>
  <c r="G58" i="7"/>
  <c r="F28" i="27"/>
  <c r="I28" i="27" s="1"/>
  <c r="G10" i="27"/>
  <c r="J10" i="27" s="1"/>
  <c r="G60" i="39"/>
  <c r="F16" i="27"/>
  <c r="I16" i="27" s="1"/>
  <c r="K9" i="27"/>
  <c r="W9" i="27" s="1"/>
  <c r="G28" i="68"/>
  <c r="G29" i="68"/>
  <c r="G27" i="68"/>
  <c r="G30" i="68"/>
  <c r="G26" i="68"/>
  <c r="M18" i="27"/>
  <c r="Y18" i="27" s="1"/>
  <c r="I111" i="68"/>
  <c r="I110" i="68"/>
  <c r="I109" i="68"/>
  <c r="I108" i="68"/>
  <c r="I107" i="68"/>
  <c r="K12" i="27"/>
  <c r="W12" i="27" s="1"/>
  <c r="G56" i="68"/>
  <c r="G57" i="68"/>
  <c r="G55" i="68"/>
  <c r="G53" i="68"/>
  <c r="G54" i="68"/>
  <c r="L21" i="27"/>
  <c r="X21" i="27" s="1"/>
  <c r="H134" i="68"/>
  <c r="H135" i="68"/>
  <c r="H138" i="68"/>
  <c r="H137" i="68"/>
  <c r="H136" i="68"/>
  <c r="F9" i="27"/>
  <c r="I9" i="27" s="1"/>
  <c r="F27" i="68"/>
  <c r="F28" i="68"/>
  <c r="F26" i="68"/>
  <c r="F30" i="68"/>
  <c r="F29" i="68"/>
  <c r="L10" i="27"/>
  <c r="X10" i="27" s="1"/>
  <c r="H37" i="68"/>
  <c r="H39" i="68"/>
  <c r="H36" i="68"/>
  <c r="H35" i="68"/>
  <c r="H38" i="68"/>
  <c r="F62" i="16"/>
  <c r="F64" i="16" s="1"/>
  <c r="K10" i="27"/>
  <c r="W10" i="27" s="1"/>
  <c r="G37" i="68"/>
  <c r="G38" i="68"/>
  <c r="G39" i="68"/>
  <c r="G36" i="68"/>
  <c r="G35" i="68"/>
  <c r="F18" i="27"/>
  <c r="I18" i="27" s="1"/>
  <c r="F107" i="68"/>
  <c r="F110" i="68"/>
  <c r="F111" i="68"/>
  <c r="F109" i="68"/>
  <c r="F108" i="68"/>
  <c r="R26" i="27"/>
  <c r="F64" i="21"/>
  <c r="F66" i="21" s="1"/>
  <c r="K17" i="27"/>
  <c r="W17" i="27" s="1"/>
  <c r="G102" i="68"/>
  <c r="G99" i="68"/>
  <c r="G100" i="68"/>
  <c r="G98" i="68"/>
  <c r="G101" i="68"/>
  <c r="F61" i="19"/>
  <c r="F63" i="19" s="1"/>
  <c r="K15" i="27"/>
  <c r="W15" i="27" s="1"/>
  <c r="G84" i="68"/>
  <c r="G83" i="68"/>
  <c r="G82" i="68"/>
  <c r="G81" i="68"/>
  <c r="G80" i="68"/>
  <c r="L19" i="27"/>
  <c r="X19" i="27" s="1"/>
  <c r="H117" i="68"/>
  <c r="H116" i="68"/>
  <c r="H120" i="68"/>
  <c r="H119" i="68"/>
  <c r="H118" i="68"/>
  <c r="H61" i="39"/>
  <c r="H63" i="39" s="1"/>
  <c r="M16" i="27"/>
  <c r="Y16" i="27" s="1"/>
  <c r="L12" i="27"/>
  <c r="X12" i="27" s="1"/>
  <c r="H53" i="68"/>
  <c r="H57" i="68"/>
  <c r="H54" i="68"/>
  <c r="H55" i="68"/>
  <c r="H56" i="68"/>
  <c r="K19" i="27"/>
  <c r="W19" i="27" s="1"/>
  <c r="G120" i="68"/>
  <c r="G118" i="68"/>
  <c r="G117" i="68"/>
  <c r="G116" i="68"/>
  <c r="G119" i="68"/>
  <c r="H58" i="7"/>
  <c r="G28" i="27"/>
  <c r="J28" i="27" s="1"/>
  <c r="F67" i="3"/>
  <c r="F69" i="3" s="1"/>
  <c r="K11" i="27"/>
  <c r="W11" i="27" s="1"/>
  <c r="R23" i="27"/>
  <c r="H23" i="27"/>
  <c r="T14" i="27"/>
  <c r="H27" i="27"/>
  <c r="S14" i="27"/>
  <c r="G17" i="27"/>
  <c r="J17" i="27" s="1"/>
  <c r="F64" i="30"/>
  <c r="F66" i="30" s="1"/>
  <c r="K18" i="27"/>
  <c r="W18" i="27" s="1"/>
  <c r="G109" i="68"/>
  <c r="G110" i="68"/>
  <c r="G107" i="68"/>
  <c r="G108" i="68"/>
  <c r="G111" i="68"/>
  <c r="F17" i="27"/>
  <c r="I17" i="27" s="1"/>
  <c r="F100" i="68"/>
  <c r="F98" i="68"/>
  <c r="F101" i="68"/>
  <c r="F102" i="68"/>
  <c r="F99" i="68"/>
  <c r="H66" i="3"/>
  <c r="G11" i="27"/>
  <c r="J11" i="27" s="1"/>
  <c r="K21" i="27"/>
  <c r="W21" i="27" s="1"/>
  <c r="G134" i="68"/>
  <c r="G135" i="68"/>
  <c r="G136" i="68"/>
  <c r="G137" i="68"/>
  <c r="G138" i="68"/>
  <c r="F24" i="27"/>
  <c r="I24" i="27" s="1"/>
  <c r="G20" i="66"/>
  <c r="M7" i="27"/>
  <c r="Y7" i="27" s="1"/>
  <c r="I11" i="68"/>
  <c r="I8" i="68"/>
  <c r="I9" i="68"/>
  <c r="I10" i="68"/>
  <c r="I12" i="68"/>
  <c r="J7" i="27"/>
  <c r="I7" i="27"/>
  <c r="L7" i="27"/>
  <c r="X7" i="27" s="1"/>
  <c r="H12" i="68"/>
  <c r="H10" i="68"/>
  <c r="H11" i="68"/>
  <c r="H8" i="68"/>
  <c r="H9" i="68"/>
  <c r="R7" i="27"/>
  <c r="G28" i="66"/>
  <c r="O11" i="66"/>
  <c r="G13" i="66"/>
  <c r="G11" i="66"/>
  <c r="G23" i="66"/>
  <c r="G15" i="66"/>
  <c r="G25" i="66"/>
  <c r="G19" i="66"/>
  <c r="G21" i="66"/>
  <c r="G63" i="30"/>
  <c r="G63" i="21"/>
  <c r="G64" i="21" s="1"/>
  <c r="G47" i="39"/>
  <c r="H61" i="16"/>
  <c r="H62" i="16" s="1"/>
  <c r="H43" i="40"/>
  <c r="H56" i="40"/>
  <c r="G50" i="30"/>
  <c r="H48" i="16"/>
  <c r="G56" i="40"/>
  <c r="G43" i="40"/>
  <c r="J19" i="27"/>
  <c r="H49" i="22"/>
  <c r="H62" i="22"/>
  <c r="H63" i="22" s="1"/>
  <c r="G63" i="23"/>
  <c r="G50" i="23"/>
  <c r="H58" i="24"/>
  <c r="H45" i="24"/>
  <c r="J27" i="27"/>
  <c r="G45" i="7"/>
  <c r="H45" i="7"/>
  <c r="G63" i="9"/>
  <c r="G50" i="9"/>
  <c r="J25" i="27"/>
  <c r="H44" i="15"/>
  <c r="H57" i="15"/>
  <c r="G57" i="15"/>
  <c r="G44" i="15"/>
  <c r="G66" i="3"/>
  <c r="G53" i="3"/>
  <c r="H47" i="19"/>
  <c r="H60" i="19"/>
  <c r="J15" i="27"/>
  <c r="G47" i="19"/>
  <c r="H46" i="5"/>
  <c r="G13" i="27" s="1"/>
  <c r="G46" i="5"/>
  <c r="F66" i="18"/>
  <c r="F68" i="18" s="1"/>
  <c r="F62" i="17"/>
  <c r="F61" i="24"/>
  <c r="H64" i="34"/>
  <c r="H53" i="3"/>
  <c r="F62" i="25"/>
  <c r="F63" i="22"/>
  <c r="H48" i="17"/>
  <c r="H61" i="17"/>
  <c r="J21" i="27"/>
  <c r="G66" i="18"/>
  <c r="G60" i="25"/>
  <c r="H50" i="21"/>
  <c r="G58" i="24"/>
  <c r="G45" i="24"/>
  <c r="G63" i="22"/>
  <c r="H63" i="21"/>
  <c r="H64" i="30"/>
  <c r="G62" i="16"/>
  <c r="H61" i="11"/>
  <c r="J9" i="27"/>
  <c r="H48" i="11"/>
  <c r="G62" i="17"/>
  <c r="G61" i="11"/>
  <c r="G48" i="11"/>
  <c r="G64" i="34"/>
  <c r="H60" i="25"/>
  <c r="F62" i="11"/>
  <c r="K24" i="66" l="1"/>
  <c r="R24" i="66" s="1"/>
  <c r="M14" i="66"/>
  <c r="M24" i="66"/>
  <c r="T24" i="66" s="1"/>
  <c r="L16" i="66"/>
  <c r="L24" i="66"/>
  <c r="S24" i="66" s="1"/>
  <c r="R13" i="27"/>
  <c r="H174" i="68"/>
  <c r="H170" i="68"/>
  <c r="H173" i="68"/>
  <c r="H172" i="68"/>
  <c r="H171" i="68"/>
  <c r="I173" i="68"/>
  <c r="I172" i="68"/>
  <c r="I171" i="68"/>
  <c r="I174" i="68"/>
  <c r="I170" i="68"/>
  <c r="F64" i="68"/>
  <c r="F66" i="68"/>
  <c r="F62" i="68"/>
  <c r="F65" i="68"/>
  <c r="F63" i="68"/>
  <c r="H163" i="68"/>
  <c r="H164" i="68"/>
  <c r="H165" i="68"/>
  <c r="H161" i="68"/>
  <c r="H162" i="68"/>
  <c r="I162" i="68"/>
  <c r="I161" i="68"/>
  <c r="I163" i="68"/>
  <c r="I164" i="68"/>
  <c r="I165" i="68"/>
  <c r="H67" i="3"/>
  <c r="H69" i="3" s="1"/>
  <c r="I46" i="68"/>
  <c r="I48" i="68"/>
  <c r="I47" i="68"/>
  <c r="I45" i="68"/>
  <c r="I44" i="68"/>
  <c r="L11" i="27"/>
  <c r="X11" i="27" s="1"/>
  <c r="H45" i="68"/>
  <c r="H44" i="68"/>
  <c r="H46" i="68"/>
  <c r="H48" i="68"/>
  <c r="H47" i="68"/>
  <c r="S23" i="27"/>
  <c r="H64" i="9"/>
  <c r="H66" i="9" s="1"/>
  <c r="M24" i="27"/>
  <c r="Y24" i="27" s="1"/>
  <c r="R24" i="27"/>
  <c r="R27" i="27"/>
  <c r="T23" i="27"/>
  <c r="R28" i="27"/>
  <c r="L27" i="27"/>
  <c r="X27" i="27" s="1"/>
  <c r="H192" i="68"/>
  <c r="H189" i="68"/>
  <c r="H190" i="68"/>
  <c r="H188" i="68"/>
  <c r="H191" i="68"/>
  <c r="L24" i="27"/>
  <c r="X24" i="27" s="1"/>
  <c r="I182" i="68"/>
  <c r="I181" i="68"/>
  <c r="I183" i="68"/>
  <c r="I180" i="68"/>
  <c r="I179" i="68"/>
  <c r="L28" i="27"/>
  <c r="X28" i="27" s="1"/>
  <c r="H199" i="68"/>
  <c r="H198" i="68"/>
  <c r="H200" i="68"/>
  <c r="H197" i="68"/>
  <c r="H201" i="68"/>
  <c r="H182" i="68"/>
  <c r="H179" i="68"/>
  <c r="H180" i="68"/>
  <c r="H181" i="68"/>
  <c r="H183" i="68"/>
  <c r="M28" i="27"/>
  <c r="Y28" i="27" s="1"/>
  <c r="I201" i="68"/>
  <c r="I197" i="68"/>
  <c r="I198" i="68"/>
  <c r="I200" i="68"/>
  <c r="I199" i="68"/>
  <c r="H89" i="68"/>
  <c r="H92" i="68"/>
  <c r="H93" i="68"/>
  <c r="H90" i="68"/>
  <c r="H91" i="68"/>
  <c r="M27" i="27"/>
  <c r="Y27" i="27" s="1"/>
  <c r="I189" i="68"/>
  <c r="I191" i="68"/>
  <c r="I190" i="68"/>
  <c r="I188" i="68"/>
  <c r="I192" i="68"/>
  <c r="M18" i="66"/>
  <c r="T18" i="66" s="1"/>
  <c r="L11" i="66"/>
  <c r="I56" i="68"/>
  <c r="M12" i="27"/>
  <c r="Y12" i="27" s="1"/>
  <c r="M11" i="66"/>
  <c r="L19" i="66"/>
  <c r="M16" i="66"/>
  <c r="L12" i="66"/>
  <c r="L26" i="66"/>
  <c r="S26" i="66" s="1"/>
  <c r="L18" i="66"/>
  <c r="S18" i="66" s="1"/>
  <c r="L14" i="66"/>
  <c r="L22" i="66"/>
  <c r="L25" i="66"/>
  <c r="L20" i="66"/>
  <c r="L15" i="66"/>
  <c r="L23" i="66"/>
  <c r="M20" i="66"/>
  <c r="M13" i="66"/>
  <c r="M26" i="66"/>
  <c r="T26" i="66" s="1"/>
  <c r="M19" i="66"/>
  <c r="M22" i="66"/>
  <c r="M15" i="66"/>
  <c r="M21" i="66"/>
  <c r="M25" i="66"/>
  <c r="M23" i="66"/>
  <c r="M12" i="66"/>
  <c r="M17" i="66"/>
  <c r="L17" i="66"/>
  <c r="L21" i="66"/>
  <c r="L13" i="66"/>
  <c r="P9" i="27"/>
  <c r="P17" i="27"/>
  <c r="Q8" i="27"/>
  <c r="P16" i="27"/>
  <c r="Q12" i="27"/>
  <c r="Q21" i="27"/>
  <c r="P7" i="27"/>
  <c r="Q10" i="27"/>
  <c r="P15" i="27"/>
  <c r="Q7" i="27"/>
  <c r="P18" i="27"/>
  <c r="P8" i="27"/>
  <c r="Q15" i="27"/>
  <c r="Q19" i="27"/>
  <c r="Q17" i="27"/>
  <c r="Q11" i="27"/>
  <c r="P11" i="27"/>
  <c r="Q9" i="27"/>
  <c r="K23" i="66"/>
  <c r="K12" i="66"/>
  <c r="K25" i="66"/>
  <c r="K19" i="66"/>
  <c r="K15" i="66"/>
  <c r="K20" i="66"/>
  <c r="K13" i="66"/>
  <c r="K26" i="66"/>
  <c r="R26" i="66" s="1"/>
  <c r="K14" i="66"/>
  <c r="K16" i="66"/>
  <c r="K21" i="66"/>
  <c r="K17" i="66"/>
  <c r="K22" i="66"/>
  <c r="K18" i="66"/>
  <c r="R18" i="66" s="1"/>
  <c r="I15" i="66"/>
  <c r="I14" i="66"/>
  <c r="I16" i="66"/>
  <c r="V16" i="66" s="1"/>
  <c r="I12" i="66"/>
  <c r="V12" i="66" s="1"/>
  <c r="I11" i="66"/>
  <c r="W11" i="66" s="1"/>
  <c r="I17" i="66"/>
  <c r="V17" i="66" s="1"/>
  <c r="I21" i="66"/>
  <c r="W21" i="66" s="1"/>
  <c r="I25" i="66"/>
  <c r="I22" i="66"/>
  <c r="I23" i="66"/>
  <c r="V23" i="66" s="1"/>
  <c r="I13" i="66"/>
  <c r="I20" i="66"/>
  <c r="W20" i="66" s="1"/>
  <c r="I19" i="66"/>
  <c r="I17" i="68"/>
  <c r="I57" i="68"/>
  <c r="I53" i="68"/>
  <c r="I54" i="68"/>
  <c r="I55" i="68"/>
  <c r="I21" i="68"/>
  <c r="H64" i="23"/>
  <c r="H66" i="23" s="1"/>
  <c r="I18" i="68"/>
  <c r="I19" i="68"/>
  <c r="I20" i="68"/>
  <c r="R8" i="27"/>
  <c r="R25" i="27"/>
  <c r="H59" i="7"/>
  <c r="H61" i="7" s="1"/>
  <c r="G59" i="7"/>
  <c r="G61" i="7" s="1"/>
  <c r="M9" i="27"/>
  <c r="Y9" i="27" s="1"/>
  <c r="I28" i="68"/>
  <c r="I27" i="68"/>
  <c r="I26" i="68"/>
  <c r="I29" i="68"/>
  <c r="I30" i="68"/>
  <c r="M15" i="27"/>
  <c r="Y15" i="27" s="1"/>
  <c r="I82" i="68"/>
  <c r="I83" i="68"/>
  <c r="I84" i="68"/>
  <c r="I81" i="68"/>
  <c r="I80" i="68"/>
  <c r="H58" i="15"/>
  <c r="H60" i="15" s="1"/>
  <c r="M25" i="27"/>
  <c r="Y25" i="27" s="1"/>
  <c r="L8" i="27"/>
  <c r="X8" i="27" s="1"/>
  <c r="H18" i="68"/>
  <c r="H17" i="68"/>
  <c r="H20" i="68"/>
  <c r="H19" i="68"/>
  <c r="H21" i="68"/>
  <c r="H57" i="40"/>
  <c r="H59" i="40" s="1"/>
  <c r="M26" i="27"/>
  <c r="Y26" i="27" s="1"/>
  <c r="S21" i="27"/>
  <c r="L15" i="27"/>
  <c r="X15" i="27" s="1"/>
  <c r="H81" i="68"/>
  <c r="H80" i="68"/>
  <c r="H84" i="68"/>
  <c r="H82" i="68"/>
  <c r="H83" i="68"/>
  <c r="F13" i="27"/>
  <c r="I13" i="27" s="1"/>
  <c r="M19" i="27"/>
  <c r="Y19" i="27" s="1"/>
  <c r="I116" i="68"/>
  <c r="I118" i="68"/>
  <c r="I119" i="68"/>
  <c r="I117" i="68"/>
  <c r="I120" i="68"/>
  <c r="R18" i="27"/>
  <c r="R16" i="27"/>
  <c r="G31" i="66"/>
  <c r="M10" i="27"/>
  <c r="Y10" i="27" s="1"/>
  <c r="I37" i="68"/>
  <c r="I36" i="68"/>
  <c r="I39" i="68"/>
  <c r="I35" i="68"/>
  <c r="I38" i="68"/>
  <c r="R9" i="27"/>
  <c r="M17" i="27"/>
  <c r="Y17" i="27" s="1"/>
  <c r="I101" i="68"/>
  <c r="I98" i="68"/>
  <c r="I100" i="68"/>
  <c r="I102" i="68"/>
  <c r="I99" i="68"/>
  <c r="G27" i="66"/>
  <c r="R17" i="27"/>
  <c r="L17" i="27"/>
  <c r="X17" i="27" s="1"/>
  <c r="H101" i="68"/>
  <c r="H99" i="68"/>
  <c r="H98" i="68"/>
  <c r="H100" i="68"/>
  <c r="H102" i="68"/>
  <c r="M11" i="27"/>
  <c r="Y11" i="27" s="1"/>
  <c r="S12" i="27"/>
  <c r="R15" i="27"/>
  <c r="S10" i="27"/>
  <c r="T18" i="27"/>
  <c r="G57" i="40"/>
  <c r="G59" i="40" s="1"/>
  <c r="L26" i="27"/>
  <c r="X26" i="27" s="1"/>
  <c r="L18" i="27"/>
  <c r="X18" i="27" s="1"/>
  <c r="H107" i="68"/>
  <c r="H111" i="68"/>
  <c r="H109" i="68"/>
  <c r="H108" i="68"/>
  <c r="H110" i="68"/>
  <c r="R11" i="27"/>
  <c r="T16" i="27"/>
  <c r="R10" i="27"/>
  <c r="G61" i="39"/>
  <c r="G63" i="39" s="1"/>
  <c r="L16" i="27"/>
  <c r="X16" i="27" s="1"/>
  <c r="T8" i="27"/>
  <c r="R21" i="27"/>
  <c r="L9" i="27"/>
  <c r="X9" i="27" s="1"/>
  <c r="H28" i="68"/>
  <c r="H27" i="68"/>
  <c r="H30" i="68"/>
  <c r="H26" i="68"/>
  <c r="H29" i="68"/>
  <c r="M21" i="27"/>
  <c r="Y21" i="27" s="1"/>
  <c r="I134" i="68"/>
  <c r="I135" i="68"/>
  <c r="I138" i="68"/>
  <c r="I137" i="68"/>
  <c r="I136" i="68"/>
  <c r="G61" i="19"/>
  <c r="G63" i="19" s="1"/>
  <c r="G58" i="15"/>
  <c r="G60" i="15" s="1"/>
  <c r="L25" i="27"/>
  <c r="X25" i="27" s="1"/>
  <c r="R19" i="27"/>
  <c r="S19" i="27"/>
  <c r="R12" i="27"/>
  <c r="S7" i="27"/>
  <c r="T7" i="27"/>
  <c r="K11" i="66"/>
  <c r="H61" i="19"/>
  <c r="H63" i="19" s="1"/>
  <c r="G64" i="30"/>
  <c r="H59" i="24"/>
  <c r="H61" i="24" s="1"/>
  <c r="G64" i="9"/>
  <c r="G66" i="9" s="1"/>
  <c r="F64" i="17"/>
  <c r="G64" i="23"/>
  <c r="G66" i="23" s="1"/>
  <c r="G67" i="3"/>
  <c r="G47" i="5"/>
  <c r="G60" i="5"/>
  <c r="H60" i="5"/>
  <c r="J13" i="27"/>
  <c r="H47" i="5"/>
  <c r="H62" i="17"/>
  <c r="H66" i="34"/>
  <c r="H64" i="16"/>
  <c r="H66" i="30"/>
  <c r="H65" i="22"/>
  <c r="F64" i="11"/>
  <c r="G65" i="22"/>
  <c r="H62" i="25"/>
  <c r="G62" i="25"/>
  <c r="G66" i="21"/>
  <c r="G66" i="34"/>
  <c r="G64" i="17"/>
  <c r="F65" i="22"/>
  <c r="G68" i="18"/>
  <c r="G64" i="16"/>
  <c r="G59" i="24"/>
  <c r="H64" i="21"/>
  <c r="G62" i="11"/>
  <c r="H62" i="11"/>
  <c r="J24" i="66" l="1"/>
  <c r="Q24" i="66" s="1"/>
  <c r="N24" i="66"/>
  <c r="U24" i="66" s="1"/>
  <c r="I65" i="68"/>
  <c r="I63" i="68"/>
  <c r="I66" i="68"/>
  <c r="I62" i="68"/>
  <c r="I64" i="68"/>
  <c r="H66" i="68"/>
  <c r="H62" i="68"/>
  <c r="H64" i="68"/>
  <c r="H63" i="68"/>
  <c r="H65" i="68"/>
  <c r="S11" i="27"/>
  <c r="S15" i="66"/>
  <c r="T24" i="27"/>
  <c r="S28" i="27"/>
  <c r="T12" i="27"/>
  <c r="S24" i="27"/>
  <c r="T27" i="27"/>
  <c r="S27" i="27"/>
  <c r="T28" i="27"/>
  <c r="S25" i="66"/>
  <c r="S19" i="66"/>
  <c r="S14" i="66"/>
  <c r="S22" i="66"/>
  <c r="T13" i="66"/>
  <c r="W16" i="66"/>
  <c r="W15" i="66"/>
  <c r="T15" i="66"/>
  <c r="W19" i="66"/>
  <c r="P13" i="27"/>
  <c r="S13" i="66"/>
  <c r="Q13" i="27"/>
  <c r="W13" i="66"/>
  <c r="V11" i="66"/>
  <c r="T20" i="66"/>
  <c r="S20" i="66"/>
  <c r="T11" i="66"/>
  <c r="V22" i="66"/>
  <c r="T22" i="66"/>
  <c r="V15" i="66"/>
  <c r="T17" i="66"/>
  <c r="T16" i="66"/>
  <c r="T14" i="66"/>
  <c r="W23" i="66"/>
  <c r="T21" i="66"/>
  <c r="T25" i="66"/>
  <c r="T12" i="66"/>
  <c r="T23" i="66"/>
  <c r="R12" i="66"/>
  <c r="R23" i="66"/>
  <c r="W12" i="66"/>
  <c r="T19" i="66"/>
  <c r="R20" i="66"/>
  <c r="R16" i="66"/>
  <c r="S11" i="66"/>
  <c r="R11" i="66"/>
  <c r="R21" i="66"/>
  <c r="V21" i="66"/>
  <c r="R19" i="66"/>
  <c r="S23" i="66"/>
  <c r="V19" i="66"/>
  <c r="V20" i="66"/>
  <c r="S21" i="66"/>
  <c r="S16" i="66"/>
  <c r="S12" i="66"/>
  <c r="R15" i="66"/>
  <c r="S17" i="66"/>
  <c r="R13" i="66"/>
  <c r="J23" i="66"/>
  <c r="Q23" i="66" s="1"/>
  <c r="J15" i="66"/>
  <c r="Q15" i="66" s="1"/>
  <c r="J12" i="66"/>
  <c r="Q12" i="66" s="1"/>
  <c r="J20" i="66"/>
  <c r="Q20" i="66" s="1"/>
  <c r="J25" i="66"/>
  <c r="Q25" i="66" s="1"/>
  <c r="J19" i="66"/>
  <c r="Q19" i="66" s="1"/>
  <c r="J22" i="66"/>
  <c r="Q22" i="66" s="1"/>
  <c r="J13" i="66"/>
  <c r="Q13" i="66" s="1"/>
  <c r="J14" i="66"/>
  <c r="Q14" i="66" s="1"/>
  <c r="J26" i="66"/>
  <c r="Q26" i="66" s="1"/>
  <c r="J21" i="66"/>
  <c r="Q21" i="66" s="1"/>
  <c r="J17" i="66"/>
  <c r="Q17" i="66" s="1"/>
  <c r="J18" i="66"/>
  <c r="Q18" i="66" s="1"/>
  <c r="J16" i="66"/>
  <c r="Q16" i="66" s="1"/>
  <c r="N19" i="66"/>
  <c r="U19" i="66" s="1"/>
  <c r="N20" i="66"/>
  <c r="U20" i="66" s="1"/>
  <c r="N23" i="66"/>
  <c r="U23" i="66" s="1"/>
  <c r="N12" i="66"/>
  <c r="U12" i="66" s="1"/>
  <c r="N25" i="66"/>
  <c r="U25" i="66" s="1"/>
  <c r="N15" i="66"/>
  <c r="U15" i="66" s="1"/>
  <c r="N16" i="66"/>
  <c r="U16" i="66" s="1"/>
  <c r="N13" i="66"/>
  <c r="U13" i="66" s="1"/>
  <c r="N22" i="66"/>
  <c r="U22" i="66" s="1"/>
  <c r="N14" i="66"/>
  <c r="U14" i="66" s="1"/>
  <c r="N21" i="66"/>
  <c r="U21" i="66" s="1"/>
  <c r="N17" i="66"/>
  <c r="U17" i="66" s="1"/>
  <c r="N26" i="66"/>
  <c r="U26" i="66" s="1"/>
  <c r="N18" i="66"/>
  <c r="U18" i="66" s="1"/>
  <c r="R25" i="66"/>
  <c r="V13" i="66"/>
  <c r="R17" i="66"/>
  <c r="W22" i="66"/>
  <c r="R22" i="66"/>
  <c r="W25" i="66"/>
  <c r="W17" i="66"/>
  <c r="V14" i="66"/>
  <c r="W14" i="66"/>
  <c r="V25" i="66"/>
  <c r="R14" i="66"/>
  <c r="T15" i="27"/>
  <c r="T26" i="27"/>
  <c r="T25" i="27"/>
  <c r="S17" i="27"/>
  <c r="S25" i="27"/>
  <c r="S18" i="27"/>
  <c r="S26" i="27"/>
  <c r="S16" i="27"/>
  <c r="T11" i="27"/>
  <c r="S15" i="27"/>
  <c r="S8" i="27"/>
  <c r="M13" i="27"/>
  <c r="Y13" i="27" s="1"/>
  <c r="L13" i="27"/>
  <c r="X13" i="27" s="1"/>
  <c r="N11" i="66"/>
  <c r="U11" i="66" s="1"/>
  <c r="T21" i="27"/>
  <c r="S9" i="27"/>
  <c r="J11" i="66"/>
  <c r="Q11" i="66" s="1"/>
  <c r="T17" i="27"/>
  <c r="T10" i="27"/>
  <c r="T19" i="27"/>
  <c r="T9" i="27"/>
  <c r="G66" i="30"/>
  <c r="G69" i="3"/>
  <c r="H61" i="5"/>
  <c r="G61" i="5"/>
  <c r="H64" i="17"/>
  <c r="H66" i="21"/>
  <c r="G61" i="24"/>
  <c r="H64" i="11"/>
  <c r="G64" i="11"/>
  <c r="T13" i="27" l="1"/>
  <c r="S13" i="27"/>
  <c r="G63" i="5"/>
  <c r="H63" i="5"/>
</calcChain>
</file>

<file path=xl/comments1.xml><?xml version="1.0" encoding="utf-8"?>
<comments xmlns="http://schemas.openxmlformats.org/spreadsheetml/2006/main">
  <authors>
    <author>jgsmith</author>
    <author xml:space="preserve"> </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D18" authorId="0">
      <text>
        <r>
          <rPr>
            <b/>
            <sz val="8"/>
            <color indexed="81"/>
            <rFont val="Tahoma"/>
            <family val="2"/>
          </rPr>
          <t>This number can be changed in the Universal Input Prices Sheet</t>
        </r>
      </text>
    </comment>
    <comment ref="D19" authorId="0">
      <text>
        <r>
          <rPr>
            <b/>
            <sz val="8"/>
            <color indexed="81"/>
            <rFont val="Tahoma"/>
            <family val="2"/>
          </rPr>
          <t>This number can be changed in the Universal Input Prices Sheet</t>
        </r>
      </text>
    </comment>
    <comment ref="D20" authorId="0">
      <text>
        <r>
          <rPr>
            <b/>
            <sz val="8"/>
            <color indexed="81"/>
            <rFont val="Tahoma"/>
            <family val="2"/>
          </rPr>
          <t>This number can be changed in the Universal Input Prices Sheet</t>
        </r>
      </text>
    </comment>
    <comment ref="A23"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5"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33" authorId="1">
      <text>
        <r>
          <rPr>
            <b/>
            <sz val="8"/>
            <color indexed="81"/>
            <rFont val="Tahoma"/>
            <family val="2"/>
          </rPr>
          <t>Enter hourly labor rate and then hours of hired operator labor necessary per acre.</t>
        </r>
      </text>
    </comment>
    <comment ref="D33" authorId="0">
      <text>
        <r>
          <rPr>
            <b/>
            <sz val="8"/>
            <color indexed="81"/>
            <rFont val="Tahoma"/>
            <family val="2"/>
          </rPr>
          <t>This number can be changed in the Universal Input Prices Sheet</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expected diesel fuel price and then quantity of fuel required per acre for the operations performed with owned equipment.</t>
        </r>
      </text>
    </comment>
    <comment ref="D35" authorId="0">
      <text>
        <r>
          <rPr>
            <b/>
            <sz val="8"/>
            <color indexed="81"/>
            <rFont val="Tahoma"/>
            <family val="2"/>
          </rPr>
          <t>This number can be changed in the Universal Input Prices Sheet</t>
        </r>
      </text>
    </comment>
    <comment ref="A36" authorId="1">
      <text>
        <r>
          <rPr>
            <b/>
            <sz val="8"/>
            <color indexed="81"/>
            <rFont val="Tahoma"/>
            <family val="2"/>
          </rPr>
          <t>Enter pickup fuel price and an estimate of the gallons of pickup fuel that will be used per acre.</t>
        </r>
      </text>
    </comment>
    <comment ref="D36" authorId="0">
      <text>
        <r>
          <rPr>
            <b/>
            <sz val="8"/>
            <color indexed="81"/>
            <rFont val="Tahoma"/>
            <family val="2"/>
          </rPr>
          <t>This number can be changed in the Universal Input Prices Sheet</t>
        </r>
      </text>
    </comment>
    <comment ref="A37" authorId="1">
      <text>
        <r>
          <rPr>
            <b/>
            <sz val="8"/>
            <color indexed="81"/>
            <rFont val="Tahoma"/>
            <family val="2"/>
          </rPr>
          <t>Enter estimated fuel costs per ac-in of water applied and then enter expected amount of water to be applied in ac-in.</t>
        </r>
      </text>
    </comment>
    <comment ref="D37" authorId="0">
      <text>
        <r>
          <rPr>
            <b/>
            <sz val="8"/>
            <color indexed="81"/>
            <rFont val="Tahoma"/>
            <family val="2"/>
          </rPr>
          <t>This number can be changed in the Universal Input Prices Sheet</t>
        </r>
      </text>
    </comment>
    <comment ref="A38" authorId="2">
      <text>
        <r>
          <rPr>
            <b/>
            <sz val="9"/>
            <color indexed="81"/>
            <rFont val="Tahoma"/>
            <family val="2"/>
          </rPr>
          <t>Enter the number of 24 hour days to pump the amount of water indicated in Irrigation Fuel.</t>
        </r>
      </text>
    </comment>
    <comment ref="A40" authorId="1">
      <text>
        <r>
          <rPr>
            <b/>
            <sz val="8"/>
            <color indexed="81"/>
            <rFont val="Tahoma"/>
            <family val="2"/>
          </rPr>
          <t>Enter your per acre estimate of repairs and maintenance that will be required to maintain implements, tractors and pickups.</t>
        </r>
      </text>
    </comment>
    <comment ref="B46" authorId="0">
      <text>
        <r>
          <rPr>
            <b/>
            <sz val="8"/>
            <color indexed="81"/>
            <rFont val="Tahoma"/>
            <family val="2"/>
          </rPr>
          <t>This number can be changed in the Universal Input Prices Sheet</t>
        </r>
      </text>
    </comment>
    <comment ref="F46" authorId="0">
      <text>
        <r>
          <rPr>
            <b/>
            <sz val="8"/>
            <color indexed="81"/>
            <rFont val="Tahoma"/>
            <family val="2"/>
          </rPr>
          <t>Calculation assumes that an amount 1/2 of the above pre-harvest direct expenses will be borrowed for 1 year.</t>
        </r>
      </text>
    </comment>
    <comment ref="G46" authorId="0">
      <text>
        <r>
          <rPr>
            <b/>
            <sz val="8"/>
            <color indexed="81"/>
            <rFont val="Tahoma"/>
            <family val="2"/>
          </rPr>
          <t>Calculation assumes that an amount 1/2 of the above pre-harvest direct expenses will be borrowed for 1 year.</t>
        </r>
      </text>
    </comment>
    <comment ref="H46" authorId="0">
      <text>
        <r>
          <rPr>
            <b/>
            <sz val="8"/>
            <color indexed="81"/>
            <rFont val="Tahoma"/>
            <family val="2"/>
          </rPr>
          <t>Calculation assumes that an amount 1/2 of the above pre-harvest direct expenses will be borrowed for 1 year.</t>
        </r>
      </text>
    </comment>
    <comment ref="A57" authorId="2">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9" authorId="2">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0.xml><?xml version="1.0" encoding="utf-8"?>
<comments xmlns="http://schemas.openxmlformats.org/spreadsheetml/2006/main">
  <authors>
    <author>Jay Yates</author>
    <author>jgsmith</author>
    <author xml:space="preserve"> </author>
  </authors>
  <commentList>
    <comment ref="B9" authorId="0">
      <text>
        <r>
          <rPr>
            <b/>
            <sz val="9"/>
            <color indexed="81"/>
            <rFont val="Tahoma"/>
            <family val="2"/>
          </rPr>
          <t>Enter the expected pounds of gain per acre for the entire period stockers will be on irrigated sorghum sudangrass.</t>
        </r>
      </text>
    </comment>
    <comment ref="D9" authorId="0">
      <text>
        <r>
          <rPr>
            <b/>
            <sz val="9"/>
            <color indexed="81"/>
            <rFont val="Tahoma"/>
            <family val="2"/>
          </rPr>
          <t>This number can be changed in the Universal Input Prices Sheet</t>
        </r>
      </text>
    </comment>
    <comment ref="B10" authorId="1">
      <text>
        <r>
          <rPr>
            <b/>
            <sz val="8"/>
            <color indexed="81"/>
            <rFont val="Tahoma"/>
            <family val="2"/>
          </rPr>
          <t>Enter dollars of other income per ground acre.</t>
        </r>
      </text>
    </comment>
    <comment ref="B17" authorId="2">
      <text>
        <r>
          <rPr>
            <b/>
            <sz val="8"/>
            <color indexed="81"/>
            <rFont val="Tahoma"/>
            <family val="2"/>
          </rPr>
          <t>Enter lbs per acre of N applied.  Enter zero if you do not apply fertilizer.</t>
        </r>
      </text>
    </comment>
    <comment ref="D17" authorId="1">
      <text>
        <r>
          <rPr>
            <b/>
            <sz val="8"/>
            <color indexed="81"/>
            <rFont val="Tahoma"/>
            <family val="2"/>
          </rPr>
          <t>This number can be changed in the Universal Input Prices Sheet</t>
        </r>
      </text>
    </comment>
    <comment ref="B18" authorId="1">
      <text>
        <r>
          <rPr>
            <b/>
            <sz val="8"/>
            <color indexed="81"/>
            <rFont val="Tahoma"/>
            <family val="2"/>
          </rPr>
          <t>Enter lbs per acre of P applied.  Enter zero if you do not apply fertilizer.</t>
        </r>
      </text>
    </comment>
    <comment ref="D18" authorId="1">
      <text>
        <r>
          <rPr>
            <b/>
            <sz val="8"/>
            <color indexed="81"/>
            <rFont val="Tahoma"/>
            <family val="2"/>
          </rPr>
          <t>This number can be changed in the Universal Input Prices Sheet</t>
        </r>
      </text>
    </comment>
    <comment ref="D19" authorId="1">
      <text>
        <r>
          <rPr>
            <b/>
            <sz val="8"/>
            <color indexed="81"/>
            <rFont val="Tahoma"/>
            <family val="2"/>
          </rPr>
          <t>This number can be changed in the Universal Input Prices Sheet</t>
        </r>
      </text>
    </comment>
    <comment ref="A21" authorId="0">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0">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3" authorId="0">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27" authorId="1">
      <text>
        <r>
          <rPr>
            <b/>
            <sz val="8"/>
            <color indexed="81"/>
            <rFont val="Tahoma"/>
            <family val="2"/>
          </rPr>
          <t>Use the "other" rows to enter additional custom operations.</t>
        </r>
      </text>
    </comment>
    <comment ref="A31" authorId="1">
      <text>
        <r>
          <rPr>
            <b/>
            <sz val="8"/>
            <color indexed="81"/>
            <rFont val="Tahoma"/>
            <family val="2"/>
          </rPr>
          <t xml:space="preserve">Enter hourly labor rate and then hours of hired operator labor necessary per acre.
</t>
        </r>
      </text>
    </comment>
    <comment ref="D31" authorId="1">
      <text>
        <r>
          <rPr>
            <b/>
            <sz val="8"/>
            <color indexed="81"/>
            <rFont val="Tahoma"/>
            <family val="2"/>
          </rPr>
          <t>This number can be changed in the Universal Input Prices Sheet</t>
        </r>
      </text>
    </comment>
    <comment ref="D32" authorId="1">
      <text>
        <r>
          <rPr>
            <b/>
            <sz val="8"/>
            <color indexed="81"/>
            <rFont val="Tahoma"/>
            <family val="2"/>
          </rPr>
          <t>This number can be changed in the Universal Input Prices Sheet</t>
        </r>
      </text>
    </comment>
    <comment ref="A33" authorId="1">
      <text>
        <r>
          <rPr>
            <b/>
            <sz val="8"/>
            <color indexed="81"/>
            <rFont val="Tahoma"/>
            <family val="2"/>
          </rPr>
          <t>Enter expected diesel fuel price and then quantity of fuel required per acre for the operations performed with owned equipment.</t>
        </r>
      </text>
    </comment>
    <comment ref="D33" authorId="1">
      <text>
        <r>
          <rPr>
            <b/>
            <sz val="8"/>
            <color indexed="81"/>
            <rFont val="Tahoma"/>
            <family val="2"/>
          </rPr>
          <t>This number can be changed in the Universal Input Prices Sheet</t>
        </r>
      </text>
    </comment>
    <comment ref="A34" authorId="1">
      <text>
        <r>
          <rPr>
            <b/>
            <sz val="8"/>
            <color indexed="81"/>
            <rFont val="Tahoma"/>
            <family val="2"/>
          </rPr>
          <t>Enter pickup fuel price and an estimate of the gallons of pickup fuel that will be used per acre.</t>
        </r>
      </text>
    </comment>
    <comment ref="D34" authorId="1">
      <text>
        <r>
          <rPr>
            <b/>
            <sz val="8"/>
            <color indexed="81"/>
            <rFont val="Tahoma"/>
            <family val="2"/>
          </rPr>
          <t>This number can be changed in the Universal Input Prices Sheet</t>
        </r>
      </text>
    </comment>
    <comment ref="A35" authorId="1">
      <text>
        <r>
          <rPr>
            <b/>
            <sz val="8"/>
            <color indexed="81"/>
            <rFont val="Tahoma"/>
            <family val="2"/>
          </rPr>
          <t>Enter estimated fuel costs per ac-in of water applied and then enter expected amount of water to be applied in ac-in.</t>
        </r>
      </text>
    </comment>
    <comment ref="D35" authorId="1">
      <text>
        <r>
          <rPr>
            <b/>
            <sz val="8"/>
            <color indexed="81"/>
            <rFont val="Tahoma"/>
            <family val="2"/>
          </rPr>
          <t>This number can be changed in the Universal Input Prices Sheet</t>
        </r>
      </text>
    </comment>
    <comment ref="A36" authorId="0">
      <text>
        <r>
          <rPr>
            <b/>
            <sz val="9"/>
            <color indexed="81"/>
            <rFont val="Tahoma"/>
            <family val="2"/>
          </rPr>
          <t>Enter the number of 24 hour days to pump the amount of water indicated in Irrigation Fuel.</t>
        </r>
      </text>
    </comment>
    <comment ref="A38" authorId="1">
      <text>
        <r>
          <rPr>
            <b/>
            <sz val="8"/>
            <color indexed="81"/>
            <rFont val="Tahoma"/>
            <family val="2"/>
          </rPr>
          <t>Enter your per acre estimate of repairs and maintenance that will be required to maintain implements, tractors and pickups.</t>
        </r>
      </text>
    </comment>
    <comment ref="B44" authorId="1">
      <text>
        <r>
          <rPr>
            <b/>
            <sz val="8"/>
            <color indexed="81"/>
            <rFont val="Tahoma"/>
            <family val="2"/>
          </rPr>
          <t>This number can be changed in the Universal Input Prices Sheet</t>
        </r>
      </text>
    </comment>
    <comment ref="F44" authorId="1">
      <text>
        <r>
          <rPr>
            <b/>
            <sz val="8"/>
            <color indexed="81"/>
            <rFont val="Tahoma"/>
            <family val="2"/>
          </rPr>
          <t>Calculation assumes that an amount 1/2 of the above pre-harvest direct expenses will be borrowed for 1 year.</t>
        </r>
      </text>
    </comment>
    <comment ref="G44" authorId="1">
      <text>
        <r>
          <rPr>
            <b/>
            <sz val="8"/>
            <color indexed="81"/>
            <rFont val="Tahoma"/>
            <family val="2"/>
          </rPr>
          <t>Calculation assumes that an amount 1/2 of the above pre-harvest direct expenses will be borrowed for 1 year.</t>
        </r>
      </text>
    </comment>
    <comment ref="H44" authorId="1">
      <text>
        <r>
          <rPr>
            <b/>
            <sz val="8"/>
            <color indexed="81"/>
            <rFont val="Tahoma"/>
            <family val="2"/>
          </rPr>
          <t>Calculation assumes that an amount 1/2 of the above pre-harvest direct expenses will be borrowed for 1 year.</t>
        </r>
      </text>
    </comment>
    <comment ref="A55" authorId="0">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7" authorId="0">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1.xml><?xml version="1.0" encoding="utf-8"?>
<comments xmlns="http://schemas.openxmlformats.org/spreadsheetml/2006/main">
  <authors>
    <author>jgsmith</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D16" authorId="0">
      <text>
        <r>
          <rPr>
            <b/>
            <sz val="8"/>
            <color indexed="81"/>
            <rFont val="Tahoma"/>
            <family val="2"/>
          </rPr>
          <t>Enter expected cost per bag of seed you plan to plant, and any associated tech fees.</t>
        </r>
      </text>
    </comment>
    <comment ref="B20" authorId="0">
      <text>
        <r>
          <rPr>
            <b/>
            <sz val="8"/>
            <color indexed="81"/>
            <rFont val="Tahoma"/>
            <family val="2"/>
          </rPr>
          <t>Enter lbs per acre of P applied.  Enter zero if you do not apply fertilizer.</t>
        </r>
      </text>
    </comment>
    <comment ref="D20" authorId="0">
      <text>
        <r>
          <rPr>
            <b/>
            <sz val="8"/>
            <color indexed="81"/>
            <rFont val="Tahoma"/>
            <family val="2"/>
          </rPr>
          <t>This number can be changed in the Universal Input Prices Sheet</t>
        </r>
      </text>
    </comment>
    <comment ref="D21" authorId="0">
      <text>
        <r>
          <rPr>
            <b/>
            <sz val="8"/>
            <color indexed="81"/>
            <rFont val="Tahoma"/>
            <family val="2"/>
          </rPr>
          <t>This number can be changed in the Universal Input Prices Sheet</t>
        </r>
      </text>
    </comment>
    <comment ref="D22" authorId="0">
      <text>
        <r>
          <rPr>
            <b/>
            <sz val="8"/>
            <color indexed="81"/>
            <rFont val="Tahoma"/>
            <family val="2"/>
          </rPr>
          <t>This number can be changed in the Universal Input Prices Sheet</t>
        </r>
      </text>
    </comment>
    <comment ref="A24"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5"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6"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7" authorId="0">
      <text>
        <r>
          <rPr>
            <b/>
            <sz val="8"/>
            <color indexed="81"/>
            <rFont val="Tahoma"/>
            <family val="2"/>
          </rPr>
          <t>Not entered here. Automatically entered from above.</t>
        </r>
      </text>
    </comment>
    <comment ref="A30" authorId="0">
      <text>
        <r>
          <rPr>
            <b/>
            <sz val="8"/>
            <color indexed="81"/>
            <rFont val="Tahoma"/>
            <family val="2"/>
          </rPr>
          <t>Use the "other" rows to enter additional custom operations.</t>
        </r>
      </text>
    </comment>
    <comment ref="A34" authorId="0">
      <text>
        <r>
          <rPr>
            <b/>
            <sz val="8"/>
            <color indexed="81"/>
            <rFont val="Tahoma"/>
            <family val="2"/>
          </rPr>
          <t>Enter hourly labor rate and then hours of hired operator labor necessary per acre.</t>
        </r>
      </text>
    </comment>
    <comment ref="D34" authorId="0">
      <text>
        <r>
          <rPr>
            <b/>
            <sz val="8"/>
            <color indexed="81"/>
            <rFont val="Tahoma"/>
            <family val="2"/>
          </rPr>
          <t>This number can be changed in the Universal Input Prices Sheet</t>
        </r>
      </text>
    </comment>
    <comment ref="D35" authorId="0">
      <text>
        <r>
          <rPr>
            <b/>
            <sz val="8"/>
            <color indexed="81"/>
            <rFont val="Tahoma"/>
            <family val="2"/>
          </rPr>
          <t>This number can be changed in the Universal Input Prices Sheet</t>
        </r>
      </text>
    </comment>
    <comment ref="A36" authorId="0">
      <text>
        <r>
          <rPr>
            <b/>
            <sz val="8"/>
            <color indexed="81"/>
            <rFont val="Tahoma"/>
            <family val="2"/>
          </rPr>
          <t>Enter expected diesel fuel price and then quantity of fuel required per acre for the operations performed with owned equipment.</t>
        </r>
      </text>
    </comment>
    <comment ref="D36" authorId="0">
      <text>
        <r>
          <rPr>
            <b/>
            <sz val="8"/>
            <color indexed="81"/>
            <rFont val="Tahoma"/>
            <family val="2"/>
          </rPr>
          <t>This number can be changed in the Universal Input Prices Sheet</t>
        </r>
      </text>
    </comment>
    <comment ref="A37" authorId="0">
      <text>
        <r>
          <rPr>
            <b/>
            <sz val="8"/>
            <color indexed="81"/>
            <rFont val="Tahoma"/>
            <family val="2"/>
          </rPr>
          <t>Enter pickup fuel price and an estimate of the gallons of pickup fuel that will be used per acre.</t>
        </r>
      </text>
    </comment>
    <comment ref="D37" authorId="0">
      <text>
        <r>
          <rPr>
            <b/>
            <sz val="8"/>
            <color indexed="81"/>
            <rFont val="Tahoma"/>
            <family val="2"/>
          </rPr>
          <t>This number can be changed in the Universal Input Prices Sheet</t>
        </r>
      </text>
    </comment>
    <comment ref="A38" authorId="0">
      <text>
        <r>
          <rPr>
            <b/>
            <sz val="8"/>
            <color indexed="81"/>
            <rFont val="Tahoma"/>
            <family val="2"/>
          </rPr>
          <t>Enter estimated fuel costs per ac-in of water applied and then enter expected amount of water to be applied in ac-in.</t>
        </r>
      </text>
    </comment>
    <comment ref="D38" authorId="0">
      <text>
        <r>
          <rPr>
            <b/>
            <sz val="8"/>
            <color indexed="81"/>
            <rFont val="Tahoma"/>
            <family val="2"/>
          </rPr>
          <t>This number can be changed in the Universal Input Prices Sheet</t>
        </r>
      </text>
    </comment>
    <comment ref="A39" authorId="1">
      <text>
        <r>
          <rPr>
            <b/>
            <sz val="9"/>
            <color indexed="81"/>
            <rFont val="Tahoma"/>
            <family val="2"/>
          </rPr>
          <t>Enter the number of 24 hour days to pump the amount of water indicated in Irrigation Fuel.</t>
        </r>
      </text>
    </comment>
    <comment ref="A41" authorId="0">
      <text>
        <r>
          <rPr>
            <b/>
            <sz val="8"/>
            <color indexed="81"/>
            <rFont val="Tahoma"/>
            <family val="2"/>
          </rPr>
          <t>Enter your per acre estimate of repairs and maintenance that will be required to maintain implements, tractors and pickups.</t>
        </r>
      </text>
    </comment>
    <comment ref="B47" authorId="0">
      <text>
        <r>
          <rPr>
            <b/>
            <sz val="8"/>
            <color indexed="81"/>
            <rFont val="Tahoma"/>
            <family val="2"/>
          </rPr>
          <t>This number can be changed in the Universal Input Prices Sheet</t>
        </r>
      </text>
    </comment>
    <comment ref="F47" authorId="0">
      <text>
        <r>
          <rPr>
            <b/>
            <sz val="8"/>
            <color indexed="81"/>
            <rFont val="Tahoma"/>
            <family val="2"/>
          </rPr>
          <t>Calculation assumes that an amount 1/2 of the above pre-harvest direct expenses will be borrowed for 1 year.</t>
        </r>
      </text>
    </comment>
    <comment ref="G47" authorId="0">
      <text>
        <r>
          <rPr>
            <b/>
            <sz val="8"/>
            <color indexed="81"/>
            <rFont val="Tahoma"/>
            <family val="2"/>
          </rPr>
          <t>Calculation assumes that an amount 1/2 of the above pre-harvest direct expenses will be borrowed for 1 year.</t>
        </r>
      </text>
    </comment>
    <comment ref="H47" authorId="0">
      <text>
        <r>
          <rPr>
            <b/>
            <sz val="8"/>
            <color indexed="81"/>
            <rFont val="Tahoma"/>
            <family val="2"/>
          </rPr>
          <t>Calculation assumes that an amount 1/2 of the above pre-harvest direct expenses will be borrowed for 1 year.</t>
        </r>
      </text>
    </comment>
    <comment ref="A58"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60"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2.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1">
      <text>
        <r>
          <rPr>
            <b/>
            <sz val="9"/>
            <color indexed="81"/>
            <rFont val="Tahoma"/>
            <family val="2"/>
          </rPr>
          <t>Enter the expected percentage of large seed (premium) sunflowers expected.  This number normally ranges from 60-80%.</t>
        </r>
      </text>
    </comment>
    <comment ref="B11" authorId="0">
      <text>
        <r>
          <rPr>
            <b/>
            <sz val="8"/>
            <color indexed="81"/>
            <rFont val="Tahoma"/>
            <family val="2"/>
          </rPr>
          <t>Enter dollars of other income per ground acre.</t>
        </r>
      </text>
    </comment>
    <comment ref="B18" authorId="2">
      <text>
        <r>
          <rPr>
            <b/>
            <sz val="8"/>
            <color indexed="81"/>
            <rFont val="Tahoma"/>
            <family val="2"/>
          </rPr>
          <t>Enter lbs per acre of P applied.  Enter zero if you do not apply fertilizer.</t>
        </r>
      </text>
    </comment>
    <comment ref="D18" authorId="0">
      <text>
        <r>
          <rPr>
            <b/>
            <sz val="8"/>
            <color indexed="81"/>
            <rFont val="Tahoma"/>
            <family val="2"/>
          </rPr>
          <t>This number can be changed in the Universal Input Prices Sheet</t>
        </r>
      </text>
    </comment>
    <comment ref="B19" authorId="2">
      <text>
        <r>
          <rPr>
            <b/>
            <sz val="8"/>
            <color indexed="81"/>
            <rFont val="Tahoma"/>
            <family val="2"/>
          </rPr>
          <t>Enter lbs per acre of N applied.  Enter zero if you do not apply fertilizer.</t>
        </r>
      </text>
    </comment>
    <comment ref="D19" authorId="0">
      <text>
        <r>
          <rPr>
            <b/>
            <sz val="8"/>
            <color indexed="81"/>
            <rFont val="Tahoma"/>
            <family val="2"/>
          </rPr>
          <t>This number can be changed in the Universal Input Prices Sheet</t>
        </r>
      </text>
    </comment>
    <comment ref="D20" authorId="0">
      <text>
        <r>
          <rPr>
            <b/>
            <sz val="8"/>
            <color indexed="81"/>
            <rFont val="Tahoma"/>
            <family val="2"/>
          </rPr>
          <t>This number can be changed in the Universal Input Prices Sheet</t>
        </r>
      </text>
    </comment>
    <comment ref="A22" authorId="2">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3" authorId="2">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4" authorId="2">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6" authorId="2">
      <text>
        <r>
          <rPr>
            <b/>
            <sz val="8"/>
            <color indexed="81"/>
            <rFont val="Tahoma"/>
            <family val="2"/>
          </rPr>
          <t>Not entered here. Automatically entered from above.</t>
        </r>
      </text>
    </comment>
    <comment ref="A27" authorId="2">
      <text>
        <r>
          <rPr>
            <b/>
            <sz val="8"/>
            <color indexed="81"/>
            <rFont val="Tahoma"/>
            <family val="2"/>
          </rPr>
          <t>Enter the total cost of pesticides including any custom hired application costs.  If performed with your owned equipment the application costs should be included as part of the totals entered in operator labor, tractor fuel, repair and maintenance and fixed expenses.</t>
        </r>
      </text>
    </comment>
    <comment ref="A34" authorId="2">
      <text>
        <r>
          <rPr>
            <b/>
            <sz val="8"/>
            <color indexed="81"/>
            <rFont val="Tahoma"/>
            <family val="2"/>
          </rPr>
          <t>Enter hourly labor rate and then hours of hired operator labor necessary per acre.</t>
        </r>
      </text>
    </comment>
    <comment ref="D34" authorId="0">
      <text>
        <r>
          <rPr>
            <b/>
            <sz val="8"/>
            <color indexed="81"/>
            <rFont val="Tahoma"/>
            <family val="2"/>
          </rPr>
          <t>This number can be changed in the Universal Input Prices Sheet</t>
        </r>
      </text>
    </comment>
    <comment ref="D35" authorId="0">
      <text>
        <r>
          <rPr>
            <b/>
            <sz val="8"/>
            <color indexed="81"/>
            <rFont val="Tahoma"/>
            <family val="2"/>
          </rPr>
          <t>This number can be changed in the Universal Input Prices Sheet</t>
        </r>
      </text>
    </comment>
    <comment ref="A36" authorId="2">
      <text>
        <r>
          <rPr>
            <b/>
            <sz val="8"/>
            <color indexed="81"/>
            <rFont val="Tahoma"/>
            <family val="2"/>
          </rPr>
          <t>Enter expected diesel fuel price and then quantity of fuel required per acre for the operations performed with owned equipment.</t>
        </r>
      </text>
    </comment>
    <comment ref="D36" authorId="0">
      <text>
        <r>
          <rPr>
            <b/>
            <sz val="8"/>
            <color indexed="81"/>
            <rFont val="Tahoma"/>
            <family val="2"/>
          </rPr>
          <t>This number can be changed in the Universal Input Prices Sheet</t>
        </r>
      </text>
    </comment>
    <comment ref="A37" authorId="2">
      <text>
        <r>
          <rPr>
            <b/>
            <sz val="8"/>
            <color indexed="81"/>
            <rFont val="Tahoma"/>
            <family val="2"/>
          </rPr>
          <t>Enter pickup fuel price and an estimate of the gallons of pickup fuel that will be used per acre.</t>
        </r>
      </text>
    </comment>
    <comment ref="D37" authorId="0">
      <text>
        <r>
          <rPr>
            <b/>
            <sz val="8"/>
            <color indexed="81"/>
            <rFont val="Tahoma"/>
            <family val="2"/>
          </rPr>
          <t>This number can be changed in the Universal Input Prices Sheet</t>
        </r>
      </text>
    </comment>
    <comment ref="A38" authorId="2">
      <text>
        <r>
          <rPr>
            <b/>
            <sz val="8"/>
            <color indexed="81"/>
            <rFont val="Tahoma"/>
            <family val="2"/>
          </rPr>
          <t>Enter estimated fuel costs per ac-in of water applied and then enter expected amount of water to be applied in ac-in.</t>
        </r>
      </text>
    </comment>
    <comment ref="D38" authorId="0">
      <text>
        <r>
          <rPr>
            <b/>
            <sz val="8"/>
            <color indexed="81"/>
            <rFont val="Tahoma"/>
            <family val="2"/>
          </rPr>
          <t>This number can be changed in the Universal Input Prices Sheet</t>
        </r>
      </text>
    </comment>
    <comment ref="A39" authorId="1">
      <text>
        <r>
          <rPr>
            <b/>
            <sz val="9"/>
            <color indexed="81"/>
            <rFont val="Tahoma"/>
            <family val="2"/>
          </rPr>
          <t>Enter the number of 24 hour days to pump the amount of water indicated in Irrigation Fuel.</t>
        </r>
      </text>
    </comment>
    <comment ref="A41" authorId="2">
      <text>
        <r>
          <rPr>
            <b/>
            <sz val="8"/>
            <color indexed="81"/>
            <rFont val="Tahoma"/>
            <family val="2"/>
          </rPr>
          <t>Enter your per acre estimate of repairs and maintenance that will be required to maintain implements, tractors and pickups.</t>
        </r>
      </text>
    </comment>
    <comment ref="B47" authorId="0">
      <text>
        <r>
          <rPr>
            <b/>
            <sz val="8"/>
            <color indexed="81"/>
            <rFont val="Tahoma"/>
            <family val="2"/>
          </rPr>
          <t>This number can be changed in the Universal Input Prices Sheet</t>
        </r>
      </text>
    </comment>
    <comment ref="F47" authorId="0">
      <text>
        <r>
          <rPr>
            <b/>
            <sz val="8"/>
            <color indexed="81"/>
            <rFont val="Tahoma"/>
            <family val="2"/>
          </rPr>
          <t>Calculation assumes that an amount 1/2 of the above pre-harvest direct expenses will be borrowed for 1 year.</t>
        </r>
      </text>
    </comment>
    <comment ref="G47" authorId="0">
      <text>
        <r>
          <rPr>
            <b/>
            <sz val="8"/>
            <color indexed="81"/>
            <rFont val="Tahoma"/>
            <family val="2"/>
          </rPr>
          <t>Calculation assumes that an amount 1/2 of the above pre-harvest direct expenses will be borrowed for 1 year.</t>
        </r>
      </text>
    </comment>
    <comment ref="H47" authorId="0">
      <text>
        <r>
          <rPr>
            <b/>
            <sz val="8"/>
            <color indexed="81"/>
            <rFont val="Tahoma"/>
            <family val="2"/>
          </rPr>
          <t>Calculation assumes that an amount 1/2 of the above pre-harvest direct expenses will be borrowed for 1 year.</t>
        </r>
      </text>
    </comment>
    <comment ref="A58"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60"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3.xml><?xml version="1.0" encoding="utf-8"?>
<comments xmlns="http://schemas.openxmlformats.org/spreadsheetml/2006/main">
  <authors>
    <author>jgsmith</author>
    <author xml:space="preserve"> </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B17" authorId="1">
      <text>
        <r>
          <rPr>
            <b/>
            <sz val="8"/>
            <color indexed="81"/>
            <rFont val="Tahoma"/>
            <family val="2"/>
          </rPr>
          <t>Enter lbs per acre of P applied.  Enter zero if you do not apply fertilizer.</t>
        </r>
      </text>
    </comment>
    <comment ref="D17" authorId="0">
      <text>
        <r>
          <rPr>
            <b/>
            <sz val="8"/>
            <color indexed="81"/>
            <rFont val="Tahoma"/>
            <family val="2"/>
          </rPr>
          <t>This number can be changed in the Universal Input Prices Sheet</t>
        </r>
      </text>
    </comment>
    <comment ref="B18" authorId="1">
      <text>
        <r>
          <rPr>
            <b/>
            <sz val="8"/>
            <color indexed="81"/>
            <rFont val="Tahoma"/>
            <family val="2"/>
          </rPr>
          <t>Enter lbs per acre of N applied.  Enter zero if you do not apply fertilizer.</t>
        </r>
      </text>
    </comment>
    <comment ref="D18" authorId="0">
      <text>
        <r>
          <rPr>
            <b/>
            <sz val="8"/>
            <color indexed="81"/>
            <rFont val="Tahoma"/>
            <family val="2"/>
          </rPr>
          <t>This number can be changed in the Universal Input Prices Sheet</t>
        </r>
      </text>
    </comment>
    <comment ref="D19" authorId="0">
      <text>
        <r>
          <rPr>
            <b/>
            <sz val="8"/>
            <color indexed="81"/>
            <rFont val="Tahoma"/>
            <family val="2"/>
          </rPr>
          <t>This number can be changed in the Universal Input Prices Sheet</t>
        </r>
      </text>
    </comment>
    <comment ref="A21"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5" authorId="1">
      <text>
        <r>
          <rPr>
            <b/>
            <sz val="8"/>
            <color indexed="81"/>
            <rFont val="Tahoma"/>
            <family val="2"/>
          </rPr>
          <t>Not entered here. Automatically entered from above.</t>
        </r>
      </text>
    </comment>
    <comment ref="A26" authorId="1">
      <text>
        <r>
          <rPr>
            <b/>
            <sz val="8"/>
            <color indexed="81"/>
            <rFont val="Tahoma"/>
            <family val="2"/>
          </rPr>
          <t>Enter the total cost of pesticides including any custom hired application costs.  If performed with your owned equipment the application costs should be included as part of the totals entered in operator labor, tractor fuel, repair and maintenance and fixed expenses.</t>
        </r>
      </text>
    </comment>
    <comment ref="A33" authorId="1">
      <text>
        <r>
          <rPr>
            <b/>
            <sz val="8"/>
            <color indexed="81"/>
            <rFont val="Tahoma"/>
            <family val="2"/>
          </rPr>
          <t>Enter hourly labor rate and then hours of hired operator labor necessary per acre.</t>
        </r>
      </text>
    </comment>
    <comment ref="D33" authorId="0">
      <text>
        <r>
          <rPr>
            <b/>
            <sz val="8"/>
            <color indexed="81"/>
            <rFont val="Tahoma"/>
            <family val="2"/>
          </rPr>
          <t>This number can be changed in the Universal Input Prices Sheet</t>
        </r>
      </text>
    </comment>
    <comment ref="D34" authorId="0">
      <text>
        <r>
          <rPr>
            <b/>
            <sz val="8"/>
            <color indexed="81"/>
            <rFont val="Tahoma"/>
            <family val="2"/>
          </rPr>
          <t>This number can be changed in the Universal Input Prices Sheet</t>
        </r>
      </text>
    </comment>
    <comment ref="A35" authorId="1">
      <text>
        <r>
          <rPr>
            <b/>
            <sz val="8"/>
            <color indexed="81"/>
            <rFont val="Tahoma"/>
            <family val="2"/>
          </rPr>
          <t>Enter expected diesel fuel price and then quantity of fuel required per acre for the operations performed with owned equipment.</t>
        </r>
      </text>
    </comment>
    <comment ref="D35" authorId="0">
      <text>
        <r>
          <rPr>
            <b/>
            <sz val="8"/>
            <color indexed="81"/>
            <rFont val="Tahoma"/>
            <family val="2"/>
          </rPr>
          <t>This number can be changed in the Universal Input Prices Sheet</t>
        </r>
      </text>
    </comment>
    <comment ref="A36" authorId="1">
      <text>
        <r>
          <rPr>
            <b/>
            <sz val="8"/>
            <color indexed="81"/>
            <rFont val="Tahoma"/>
            <family val="2"/>
          </rPr>
          <t>Enter pickup fuel price and an estimate of the gallons of pickup fuel that will be used per acre.</t>
        </r>
      </text>
    </comment>
    <comment ref="D36" authorId="0">
      <text>
        <r>
          <rPr>
            <b/>
            <sz val="8"/>
            <color indexed="81"/>
            <rFont val="Tahoma"/>
            <family val="2"/>
          </rPr>
          <t>This number can be changed in the Universal Input Prices Sheet</t>
        </r>
      </text>
    </comment>
    <comment ref="A37" authorId="1">
      <text>
        <r>
          <rPr>
            <b/>
            <sz val="8"/>
            <color indexed="81"/>
            <rFont val="Tahoma"/>
            <family val="2"/>
          </rPr>
          <t>Enter estimated fuel costs per ac-in of water applied and then enter expected amount of water to be applied in ac-in.</t>
        </r>
      </text>
    </comment>
    <comment ref="D37" authorId="0">
      <text>
        <r>
          <rPr>
            <b/>
            <sz val="8"/>
            <color indexed="81"/>
            <rFont val="Tahoma"/>
            <family val="2"/>
          </rPr>
          <t>This number can be changed in the Universal Input Prices Sheet</t>
        </r>
      </text>
    </comment>
    <comment ref="A38" authorId="2">
      <text>
        <r>
          <rPr>
            <b/>
            <sz val="9"/>
            <color indexed="81"/>
            <rFont val="Tahoma"/>
            <family val="2"/>
          </rPr>
          <t>Enter the number of 24 hour days to pump the amount of water indicated in Irrigation Fuel.</t>
        </r>
      </text>
    </comment>
    <comment ref="A40" authorId="1">
      <text>
        <r>
          <rPr>
            <b/>
            <sz val="8"/>
            <color indexed="81"/>
            <rFont val="Tahoma"/>
            <family val="2"/>
          </rPr>
          <t>Enter your per acre estimate of repairs and maintenance that will be required to maintain implements, tractors and pickups.</t>
        </r>
      </text>
    </comment>
    <comment ref="B46" authorId="0">
      <text>
        <r>
          <rPr>
            <b/>
            <sz val="8"/>
            <color indexed="81"/>
            <rFont val="Tahoma"/>
            <family val="2"/>
          </rPr>
          <t>This number can be changed in the Universal Input Prices Sheet</t>
        </r>
      </text>
    </comment>
    <comment ref="F46" authorId="0">
      <text>
        <r>
          <rPr>
            <b/>
            <sz val="8"/>
            <color indexed="81"/>
            <rFont val="Tahoma"/>
            <family val="2"/>
          </rPr>
          <t>Calculation assumes that an amount 1/2 of the above pre-harvest direct expenses will be borrowed for 1 year.</t>
        </r>
      </text>
    </comment>
    <comment ref="G46" authorId="0">
      <text>
        <r>
          <rPr>
            <b/>
            <sz val="8"/>
            <color indexed="81"/>
            <rFont val="Tahoma"/>
            <family val="2"/>
          </rPr>
          <t>Calculation assumes that an amount 1/2 of the above pre-harvest direct expenses will be borrowed for 1 year.</t>
        </r>
      </text>
    </comment>
    <comment ref="H46" authorId="0">
      <text>
        <r>
          <rPr>
            <b/>
            <sz val="8"/>
            <color indexed="81"/>
            <rFont val="Tahoma"/>
            <family val="2"/>
          </rPr>
          <t>Calculation assumes that an amount 1/2 of the above pre-harvest direct expenses will be borrowed for 1 year.</t>
        </r>
      </text>
    </comment>
    <comment ref="A57" authorId="2">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9" authorId="2">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4.xml><?xml version="1.0" encoding="utf-8"?>
<comments xmlns="http://schemas.openxmlformats.org/spreadsheetml/2006/main">
  <authors>
    <author>jgsmith</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B17" authorId="0">
      <text>
        <r>
          <rPr>
            <b/>
            <sz val="8"/>
            <color indexed="81"/>
            <rFont val="Tahoma"/>
            <family val="2"/>
          </rPr>
          <t>Enter lbs per acre of P applied.  Enter zero if you do not apply fertilizer.</t>
        </r>
      </text>
    </comment>
    <comment ref="D17" authorId="0">
      <text>
        <r>
          <rPr>
            <b/>
            <sz val="8"/>
            <color indexed="81"/>
            <rFont val="Tahoma"/>
            <family val="2"/>
          </rPr>
          <t>This number can be changed in the Universal Input Prices Sheet</t>
        </r>
      </text>
    </comment>
    <comment ref="B18" authorId="0">
      <text>
        <r>
          <rPr>
            <b/>
            <sz val="8"/>
            <color indexed="81"/>
            <rFont val="Tahoma"/>
            <family val="2"/>
          </rPr>
          <t xml:space="preserve">Enter lbs per acre of N applied.  Enter zero if you do not apply fertilizer.
</t>
        </r>
      </text>
    </comment>
    <comment ref="D18" authorId="0">
      <text>
        <r>
          <rPr>
            <b/>
            <sz val="8"/>
            <color indexed="81"/>
            <rFont val="Tahoma"/>
            <family val="2"/>
          </rPr>
          <t>This number can be changed in the Universal Input Prices Sheet</t>
        </r>
      </text>
    </comment>
    <comment ref="D19" authorId="0">
      <text>
        <r>
          <rPr>
            <b/>
            <sz val="8"/>
            <color indexed="81"/>
            <rFont val="Tahoma"/>
            <family val="2"/>
          </rPr>
          <t>This number can be changed in the Universal Input Prices Sheet</t>
        </r>
      </text>
    </comment>
    <comment ref="A21"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4" authorId="0">
      <text>
        <r>
          <rPr>
            <b/>
            <sz val="8"/>
            <color indexed="81"/>
            <rFont val="Tahoma"/>
            <family val="2"/>
          </rPr>
          <t>Not entered here. Automatically entered from above.</t>
        </r>
      </text>
    </comment>
    <comment ref="D24" authorId="0">
      <text>
        <r>
          <rPr>
            <b/>
            <sz val="8"/>
            <color indexed="81"/>
            <rFont val="Tahoma"/>
            <family val="2"/>
          </rPr>
          <t>Custom rate is entered as dollars per ton.  This is for cutting and hauling only.</t>
        </r>
      </text>
    </comment>
    <comment ref="A27" authorId="0">
      <text>
        <r>
          <rPr>
            <b/>
            <sz val="8"/>
            <color indexed="81"/>
            <rFont val="Tahoma"/>
            <family val="2"/>
          </rPr>
          <t>Use the "other" rows to enter additional custom operations.</t>
        </r>
      </text>
    </comment>
    <comment ref="A31" authorId="0">
      <text>
        <r>
          <rPr>
            <b/>
            <sz val="8"/>
            <color indexed="81"/>
            <rFont val="Tahoma"/>
            <family val="2"/>
          </rPr>
          <t xml:space="preserve">Enter hourly labor rate and then hours of hired operator labor necessary per acre.
</t>
        </r>
      </text>
    </comment>
    <comment ref="D31" authorId="0">
      <text>
        <r>
          <rPr>
            <b/>
            <sz val="8"/>
            <color indexed="81"/>
            <rFont val="Tahoma"/>
            <family val="2"/>
          </rPr>
          <t>This number can be changed in the Universal Input Prices Sheet</t>
        </r>
      </text>
    </comment>
    <comment ref="D32" authorId="0">
      <text>
        <r>
          <rPr>
            <b/>
            <sz val="8"/>
            <color indexed="81"/>
            <rFont val="Tahoma"/>
            <family val="2"/>
          </rPr>
          <t>This number can be changed in the Universal Input Prices Sheet</t>
        </r>
      </text>
    </comment>
    <comment ref="A33" authorId="0">
      <text>
        <r>
          <rPr>
            <b/>
            <sz val="8"/>
            <color indexed="81"/>
            <rFont val="Tahoma"/>
            <family val="2"/>
          </rPr>
          <t>Enter expected diesel fuel price and then quantity of fuel required per acre for the operations performed with owned equipment.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pickup fuel price and an estimate of the gallons of pickup fuel that will be used per acre.</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estimated fuel costs per ac-in of water applied and then enter expected amount of water to be applied in ac-in.</t>
        </r>
      </text>
    </comment>
    <comment ref="D35" authorId="0">
      <text>
        <r>
          <rPr>
            <b/>
            <sz val="8"/>
            <color indexed="81"/>
            <rFont val="Tahoma"/>
            <family val="2"/>
          </rPr>
          <t>This number can be changed in the Universal Input Prices Sheet</t>
        </r>
      </text>
    </comment>
    <comment ref="A36" authorId="1">
      <text>
        <r>
          <rPr>
            <b/>
            <sz val="9"/>
            <color indexed="81"/>
            <rFont val="Tahoma"/>
            <family val="2"/>
          </rPr>
          <t>Enter the number of 24 hour days to pump the amount of water indicated in Irrigation Fuel.</t>
        </r>
      </text>
    </comment>
    <comment ref="A38" authorId="0">
      <text>
        <r>
          <rPr>
            <b/>
            <sz val="8"/>
            <color indexed="81"/>
            <rFont val="Tahoma"/>
            <family val="2"/>
          </rPr>
          <t>Enter your per acre estimate of repairs and maintenance that will be required to maintain implements, tractors and pickups.</t>
        </r>
      </text>
    </comment>
    <comment ref="B44" authorId="0">
      <text>
        <r>
          <rPr>
            <b/>
            <sz val="8"/>
            <color indexed="81"/>
            <rFont val="Tahoma"/>
            <family val="2"/>
          </rPr>
          <t>This number can be changed in the Universal Input Prices Sheet</t>
        </r>
      </text>
    </comment>
    <comment ref="F44" authorId="0">
      <text>
        <r>
          <rPr>
            <b/>
            <sz val="8"/>
            <color indexed="81"/>
            <rFont val="Tahoma"/>
            <family val="2"/>
          </rPr>
          <t>Calculation assumes that an amount 1/2 of the above pre-harvest direct expenses will be borrowed for 1 year.</t>
        </r>
      </text>
    </comment>
    <comment ref="G44" authorId="0">
      <text>
        <r>
          <rPr>
            <b/>
            <sz val="8"/>
            <color indexed="81"/>
            <rFont val="Tahoma"/>
            <family val="2"/>
          </rPr>
          <t>Calculation assumes that an amount 1/2 of the above pre-harvest direct expenses will be borrowed for 1 year.</t>
        </r>
      </text>
    </comment>
    <comment ref="H44" authorId="0">
      <text>
        <r>
          <rPr>
            <b/>
            <sz val="8"/>
            <color indexed="81"/>
            <rFont val="Tahoma"/>
            <family val="2"/>
          </rPr>
          <t>Calculation assumes that an amount 1/2 of the above pre-harvest direct expenses will be borrowed for 1 year.</t>
        </r>
      </text>
    </comment>
    <comment ref="A55"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7"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5.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1">
      <text>
        <r>
          <rPr>
            <b/>
            <sz val="9"/>
            <color indexed="81"/>
            <rFont val="Tahoma"/>
            <family val="2"/>
          </rPr>
          <t>Enter the expected pounds of gain per acre for the entire period stockers will be on wheat.</t>
        </r>
      </text>
    </comment>
    <comment ref="D10" authorId="1">
      <text>
        <r>
          <rPr>
            <b/>
            <sz val="9"/>
            <color indexed="81"/>
            <rFont val="Tahoma"/>
            <family val="2"/>
          </rPr>
          <t>This number can be changed in the Universal Input Prices Sheet</t>
        </r>
      </text>
    </comment>
    <comment ref="B11" authorId="0">
      <text>
        <r>
          <rPr>
            <b/>
            <sz val="8"/>
            <color indexed="81"/>
            <rFont val="Tahoma"/>
            <family val="2"/>
          </rPr>
          <t>Enter dollars of other income per ground acre.</t>
        </r>
      </text>
    </comment>
    <comment ref="D18" authorId="0">
      <text>
        <r>
          <rPr>
            <b/>
            <sz val="8"/>
            <color indexed="81"/>
            <rFont val="Tahoma"/>
            <family val="2"/>
          </rPr>
          <t>This number can be changed in the Universal Input Prices Sheet</t>
        </r>
      </text>
    </comment>
    <comment ref="B19" authorId="0">
      <text>
        <r>
          <rPr>
            <b/>
            <sz val="8"/>
            <color indexed="81"/>
            <rFont val="Tahoma"/>
            <family val="2"/>
          </rPr>
          <t>Enter lbs per acre of P applied.  Enter zero if you do not apply fertilizer.</t>
        </r>
      </text>
    </comment>
    <comment ref="D19" authorId="0">
      <text>
        <r>
          <rPr>
            <b/>
            <sz val="8"/>
            <color indexed="81"/>
            <rFont val="Tahoma"/>
            <family val="2"/>
          </rPr>
          <t>This number can be changed in the Universal Input Prices Sheet</t>
        </r>
      </text>
    </comment>
    <comment ref="B20" authorId="0">
      <text>
        <r>
          <rPr>
            <b/>
            <sz val="8"/>
            <color indexed="81"/>
            <rFont val="Tahoma"/>
            <family val="2"/>
          </rPr>
          <t>Enter lbs per acre of N applied.  Enter zero if you do not apply fertilizer.</t>
        </r>
      </text>
    </comment>
    <comment ref="D20" authorId="0">
      <text>
        <r>
          <rPr>
            <b/>
            <sz val="8"/>
            <color indexed="81"/>
            <rFont val="Tahoma"/>
            <family val="2"/>
          </rPr>
          <t>This number can be changed in the Universal Input Prices Sheet</t>
        </r>
      </text>
    </comment>
    <comment ref="A22"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5" authorId="2">
      <text>
        <r>
          <rPr>
            <b/>
            <sz val="8"/>
            <color indexed="81"/>
            <rFont val="Tahoma"/>
            <family val="2"/>
          </rPr>
          <t>Not entered here. Automatically entered from above.</t>
        </r>
      </text>
    </comment>
    <comment ref="A28" authorId="0">
      <text>
        <r>
          <rPr>
            <b/>
            <sz val="8"/>
            <color indexed="81"/>
            <rFont val="Tahoma"/>
            <family val="2"/>
          </rPr>
          <t>Use the "other" rows to enter additional custom operations.</t>
        </r>
      </text>
    </comment>
    <comment ref="A32" authorId="0">
      <text>
        <r>
          <rPr>
            <b/>
            <sz val="8"/>
            <color indexed="81"/>
            <rFont val="Tahoma"/>
            <family val="2"/>
          </rPr>
          <t>Enter hourly labor rate and then hours of hired operator labor necessary per acre.</t>
        </r>
      </text>
    </comment>
    <comment ref="D32" authorId="0">
      <text>
        <r>
          <rPr>
            <b/>
            <sz val="8"/>
            <color indexed="81"/>
            <rFont val="Tahoma"/>
            <family val="2"/>
          </rPr>
          <t>This number can be changed in the Universal Input Prices Sheet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expected diesel fuel price and then quantity of fuel required per acre for the operations performed with owned equipment.</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pickup fuel price and an estimate of the gallons of pickup fuel that will be used per acre.</t>
        </r>
      </text>
    </comment>
    <comment ref="D35" authorId="0">
      <text>
        <r>
          <rPr>
            <b/>
            <sz val="8"/>
            <color indexed="81"/>
            <rFont val="Tahoma"/>
            <family val="2"/>
          </rPr>
          <t>This number can be changed in the Universal Input Prices Sheet</t>
        </r>
      </text>
    </comment>
    <comment ref="A36" authorId="0">
      <text>
        <r>
          <rPr>
            <b/>
            <sz val="8"/>
            <color indexed="81"/>
            <rFont val="Tahoma"/>
            <family val="2"/>
          </rPr>
          <t>Enter estimated fuel costs per ac-in of water applied and then enter expected amount of water to be applied in ac-in.</t>
        </r>
      </text>
    </comment>
    <comment ref="D36" authorId="0">
      <text>
        <r>
          <rPr>
            <b/>
            <sz val="8"/>
            <color indexed="81"/>
            <rFont val="Tahoma"/>
            <family val="2"/>
          </rPr>
          <t>This number can be changed in the Universal Input Prices Sheet</t>
        </r>
      </text>
    </comment>
    <comment ref="A37" authorId="1">
      <text>
        <r>
          <rPr>
            <b/>
            <sz val="9"/>
            <color indexed="81"/>
            <rFont val="Tahoma"/>
            <family val="2"/>
          </rPr>
          <t>Enter the number of 24 hour days to pump the amount of water indicated in Irrigation Fuel.</t>
        </r>
      </text>
    </comment>
    <comment ref="A39" authorId="0">
      <text>
        <r>
          <rPr>
            <b/>
            <sz val="8"/>
            <color indexed="81"/>
            <rFont val="Tahoma"/>
            <family val="2"/>
          </rPr>
          <t>Enter your per acre estimate of repairs and maintenance that will be required to maintain implements, tractors and pickups.</t>
        </r>
      </text>
    </comment>
    <comment ref="B45" authorId="0">
      <text>
        <r>
          <rPr>
            <b/>
            <sz val="8"/>
            <color indexed="81"/>
            <rFont val="Tahoma"/>
            <family val="2"/>
          </rPr>
          <t>This number can be changed in the Universal Input Prices Sheet</t>
        </r>
      </text>
    </comment>
    <comment ref="F45" authorId="0">
      <text>
        <r>
          <rPr>
            <b/>
            <sz val="8"/>
            <color indexed="81"/>
            <rFont val="Tahoma"/>
            <family val="2"/>
          </rPr>
          <t>Calculation assumes that an amount 1/2 of the above pre-harvest direct expenses will be borrowed for 1 year.</t>
        </r>
      </text>
    </comment>
    <comment ref="G45" authorId="0">
      <text>
        <r>
          <rPr>
            <b/>
            <sz val="8"/>
            <color indexed="81"/>
            <rFont val="Tahoma"/>
            <family val="2"/>
          </rPr>
          <t>Calculation assumes that an amount 1/2 of the above pre-harvest direct expenses will be borrowed for 1 year.</t>
        </r>
      </text>
    </comment>
    <comment ref="H45" authorId="0">
      <text>
        <r>
          <rPr>
            <b/>
            <sz val="8"/>
            <color indexed="81"/>
            <rFont val="Tahoma"/>
            <family val="2"/>
          </rPr>
          <t>Calculation assumes that an amount 1/2 of the above pre-harvest direct expenses will be borrowed for 1 year.</t>
        </r>
      </text>
    </comment>
    <comment ref="A56"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8"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6.xml><?xml version="1.0" encoding="utf-8"?>
<comments xmlns="http://schemas.openxmlformats.org/spreadsheetml/2006/main">
  <authors>
    <author>Bridget Guerrero</author>
    <author>jgsmith</author>
    <author>Jay Yates</author>
    <author xml:space="preserve"> </author>
  </authors>
  <commentList>
    <comment ref="A3" authorId="0">
      <text>
        <r>
          <rPr>
            <sz val="9"/>
            <color indexed="81"/>
            <rFont val="Tahoma"/>
            <family val="2"/>
          </rPr>
          <t>This can be changed in the Universal Input Prices Sheet</t>
        </r>
      </text>
    </comment>
    <comment ref="B9" authorId="1">
      <text>
        <r>
          <rPr>
            <b/>
            <sz val="8"/>
            <color indexed="81"/>
            <rFont val="Tahoma"/>
            <family val="2"/>
          </rPr>
          <t>Enter expected yield per ground acre.</t>
        </r>
      </text>
    </comment>
    <comment ref="D9" authorId="1">
      <text>
        <r>
          <rPr>
            <b/>
            <sz val="8"/>
            <color indexed="81"/>
            <rFont val="Tahoma"/>
            <family val="2"/>
          </rPr>
          <t>This number can be changed in the Universal Input Prices Sheet</t>
        </r>
      </text>
    </comment>
    <comment ref="B10" authorId="2">
      <text>
        <r>
          <rPr>
            <b/>
            <sz val="9"/>
            <color indexed="81"/>
            <rFont val="Tahoma"/>
            <family val="2"/>
          </rPr>
          <t>Enter the expected quantity of secondary income.</t>
        </r>
      </text>
    </comment>
    <comment ref="D10" authorId="2">
      <text>
        <r>
          <rPr>
            <b/>
            <sz val="9"/>
            <color indexed="81"/>
            <rFont val="Tahoma"/>
            <family val="2"/>
          </rPr>
          <t>Enter the price per unit of secondary income</t>
        </r>
      </text>
    </comment>
    <comment ref="B17" authorId="1">
      <text>
        <r>
          <rPr>
            <b/>
            <sz val="8"/>
            <color indexed="81"/>
            <rFont val="Tahoma"/>
            <family val="2"/>
          </rPr>
          <t>Enter lbs per acre of fertilizer applied.  Enter zero if you do not apply fertilizer.</t>
        </r>
        <r>
          <rPr>
            <sz val="8"/>
            <color indexed="81"/>
            <rFont val="Tahoma"/>
            <family val="2"/>
          </rPr>
          <t xml:space="preserve">
</t>
        </r>
      </text>
    </comment>
    <comment ref="D17" authorId="1">
      <text>
        <r>
          <rPr>
            <b/>
            <sz val="8"/>
            <color indexed="81"/>
            <rFont val="Tahoma"/>
            <family val="2"/>
          </rPr>
          <t>This number can be changed in the Universal Input Prices Sheet</t>
        </r>
      </text>
    </comment>
    <comment ref="B18" authorId="1">
      <text>
        <r>
          <rPr>
            <b/>
            <sz val="8"/>
            <color indexed="81"/>
            <rFont val="Tahoma"/>
            <family val="2"/>
          </rPr>
          <t>Enter lbs per acre of fertilizer applied.  Enter zero if you do not apply fertilizer.</t>
        </r>
        <r>
          <rPr>
            <sz val="8"/>
            <color indexed="81"/>
            <rFont val="Tahoma"/>
            <family val="2"/>
          </rPr>
          <t xml:space="preserve">
</t>
        </r>
      </text>
    </comment>
    <comment ref="D18" authorId="1">
      <text>
        <r>
          <rPr>
            <b/>
            <sz val="8"/>
            <color indexed="81"/>
            <rFont val="Tahoma"/>
            <family val="2"/>
          </rPr>
          <t>This number can be changed in the Universal Input Prices Sheet</t>
        </r>
      </text>
    </comment>
    <comment ref="B19" authorId="1">
      <text>
        <r>
          <rPr>
            <b/>
            <sz val="8"/>
            <color indexed="81"/>
            <rFont val="Tahoma"/>
            <family val="2"/>
          </rPr>
          <t>Enter lbs per acre of fertilizer applied.  Enter zero if you do not apply fertilizer.</t>
        </r>
        <r>
          <rPr>
            <sz val="8"/>
            <color indexed="81"/>
            <rFont val="Tahoma"/>
            <family val="2"/>
          </rPr>
          <t xml:space="preserve">
</t>
        </r>
      </text>
    </comment>
    <comment ref="D19" authorId="1">
      <text>
        <r>
          <rPr>
            <b/>
            <sz val="8"/>
            <color indexed="81"/>
            <rFont val="Tahoma"/>
            <family val="2"/>
          </rPr>
          <t>This number can be changed in the Universal Input Prices Sheet</t>
        </r>
      </text>
    </comment>
    <comment ref="B20" authorId="1">
      <text>
        <r>
          <rPr>
            <b/>
            <sz val="8"/>
            <color indexed="81"/>
            <rFont val="Tahoma"/>
            <family val="2"/>
          </rPr>
          <t>Enter lbs per acre of fertilizer applied.  Enter zero if you do not apply fertilizer.</t>
        </r>
        <r>
          <rPr>
            <sz val="8"/>
            <color indexed="81"/>
            <rFont val="Tahoma"/>
            <family val="2"/>
          </rPr>
          <t xml:space="preserve">
</t>
        </r>
      </text>
    </comment>
    <comment ref="D20" authorId="1">
      <text>
        <r>
          <rPr>
            <b/>
            <sz val="8"/>
            <color indexed="81"/>
            <rFont val="Tahoma"/>
            <family val="2"/>
          </rPr>
          <t>This number can be changed in the Universal Input Prices Sheet</t>
        </r>
      </text>
    </comment>
    <comment ref="B21" authorId="1">
      <text>
        <r>
          <rPr>
            <b/>
            <sz val="8"/>
            <color indexed="81"/>
            <rFont val="Tahoma"/>
            <family val="2"/>
          </rPr>
          <t>Enter lbs per acre of fertilizer applied.  Enter zero if you do not apply fertilizer.</t>
        </r>
        <r>
          <rPr>
            <sz val="8"/>
            <color indexed="81"/>
            <rFont val="Tahoma"/>
            <family val="2"/>
          </rPr>
          <t xml:space="preserve">
</t>
        </r>
      </text>
    </comment>
    <comment ref="D21" authorId="1">
      <text>
        <r>
          <rPr>
            <b/>
            <sz val="8"/>
            <color indexed="81"/>
            <rFont val="Tahoma"/>
            <family val="2"/>
          </rPr>
          <t>This number can be changed in the Universal Input Prices Sheet</t>
        </r>
      </text>
    </comment>
    <comment ref="A23" authorId="2">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4" authorId="2">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5" authorId="2">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6" authorId="3">
      <text>
        <r>
          <rPr>
            <b/>
            <sz val="8"/>
            <color indexed="81"/>
            <rFont val="Tahoma"/>
            <family val="2"/>
          </rPr>
          <t>Not entered here. Automatically entered from above.</t>
        </r>
      </text>
    </comment>
    <comment ref="A29" authorId="1">
      <text>
        <r>
          <rPr>
            <b/>
            <sz val="8"/>
            <color indexed="81"/>
            <rFont val="Tahoma"/>
            <family val="2"/>
          </rPr>
          <t>Use the "other" rows to enter additional custom operations.</t>
        </r>
      </text>
    </comment>
    <comment ref="A33" authorId="1">
      <text>
        <r>
          <rPr>
            <b/>
            <sz val="8"/>
            <color indexed="81"/>
            <rFont val="Tahoma"/>
            <family val="2"/>
          </rPr>
          <t xml:space="preserve">Enter hourly labor rate and then hours of hired operator labor necessary per acre.
</t>
        </r>
      </text>
    </comment>
    <comment ref="D33" authorId="1">
      <text>
        <r>
          <rPr>
            <b/>
            <sz val="8"/>
            <color indexed="81"/>
            <rFont val="Tahoma"/>
            <family val="2"/>
          </rPr>
          <t>This number can be changed in the Universal Input Prices Sheet</t>
        </r>
      </text>
    </comment>
    <comment ref="D34" authorId="1">
      <text>
        <r>
          <rPr>
            <b/>
            <sz val="8"/>
            <color indexed="81"/>
            <rFont val="Tahoma"/>
            <family val="2"/>
          </rPr>
          <t>This number can be changed in the Universal Input Prices Sheet</t>
        </r>
      </text>
    </comment>
    <comment ref="A35" authorId="1">
      <text>
        <r>
          <rPr>
            <b/>
            <sz val="8"/>
            <color indexed="81"/>
            <rFont val="Tahoma"/>
            <family val="2"/>
          </rPr>
          <t>Enter expected diesel fuel price and then quantity of fuel required per acre for the operations performed with owned equipment.</t>
        </r>
      </text>
    </comment>
    <comment ref="D35" authorId="1">
      <text>
        <r>
          <rPr>
            <b/>
            <sz val="8"/>
            <color indexed="81"/>
            <rFont val="Tahoma"/>
            <family val="2"/>
          </rPr>
          <t>This number can be changed in the Universal Input Prices Sheet</t>
        </r>
      </text>
    </comment>
    <comment ref="A36" authorId="1">
      <text>
        <r>
          <rPr>
            <b/>
            <sz val="8"/>
            <color indexed="81"/>
            <rFont val="Tahoma"/>
            <family val="2"/>
          </rPr>
          <t>Enter pickup fuel price and an estimate of the gallons of pickup fuel that will be used per acre.</t>
        </r>
      </text>
    </comment>
    <comment ref="D36" authorId="1">
      <text>
        <r>
          <rPr>
            <b/>
            <sz val="8"/>
            <color indexed="81"/>
            <rFont val="Tahoma"/>
            <family val="2"/>
          </rPr>
          <t>This number can be changed in the Universal Input Prices Sheet</t>
        </r>
      </text>
    </comment>
    <comment ref="A37" authorId="1">
      <text>
        <r>
          <rPr>
            <b/>
            <sz val="8"/>
            <color indexed="81"/>
            <rFont val="Tahoma"/>
            <family val="2"/>
          </rPr>
          <t>Enter estimated fuel costs per ac-in of water applied and then enter expected amount of water to be applied in ac-in.</t>
        </r>
      </text>
    </comment>
    <comment ref="D37" authorId="1">
      <text>
        <r>
          <rPr>
            <b/>
            <sz val="8"/>
            <color indexed="81"/>
            <rFont val="Tahoma"/>
            <family val="2"/>
          </rPr>
          <t>This number can be changed in the Universal Input Prices Sheet</t>
        </r>
      </text>
    </comment>
    <comment ref="A38" authorId="2">
      <text>
        <r>
          <rPr>
            <b/>
            <sz val="9"/>
            <color indexed="81"/>
            <rFont val="Tahoma"/>
            <family val="2"/>
          </rPr>
          <t>Enter the number of 24 hour days to pump the amount of water indicated in Irrigation Fuel.</t>
        </r>
      </text>
    </comment>
    <comment ref="A40" authorId="1">
      <text>
        <r>
          <rPr>
            <b/>
            <sz val="8"/>
            <color indexed="81"/>
            <rFont val="Tahoma"/>
            <family val="2"/>
          </rPr>
          <t>Enter your per acre estimate of repairs and maintenance that will be required to maintain implements, tractors and pickups.</t>
        </r>
      </text>
    </comment>
    <comment ref="B46" authorId="1">
      <text>
        <r>
          <rPr>
            <b/>
            <sz val="8"/>
            <color indexed="81"/>
            <rFont val="Tahoma"/>
            <family val="2"/>
          </rPr>
          <t>This number can be changed in the Universal Input Prices Sheet</t>
        </r>
      </text>
    </comment>
    <comment ref="F46" authorId="1">
      <text>
        <r>
          <rPr>
            <b/>
            <sz val="8"/>
            <color indexed="81"/>
            <rFont val="Tahoma"/>
            <family val="2"/>
          </rPr>
          <t>Calculation assumes that an amount 1/2 of the above pre-harvest direct expenses will be borrowed for 1 year.</t>
        </r>
      </text>
    </comment>
    <comment ref="G46" authorId="1">
      <text>
        <r>
          <rPr>
            <b/>
            <sz val="8"/>
            <color indexed="81"/>
            <rFont val="Tahoma"/>
            <family val="2"/>
          </rPr>
          <t>Calculation assumes that an amount 1/2 of the above pre-harvest direct expenses will be borrowed for 1 year.</t>
        </r>
      </text>
    </comment>
    <comment ref="H46" authorId="1">
      <text>
        <r>
          <rPr>
            <b/>
            <sz val="8"/>
            <color indexed="81"/>
            <rFont val="Tahoma"/>
            <family val="2"/>
          </rPr>
          <t>Calculation assumes that an amount 1/2 of the above pre-harvest direct expenses will be borrowed for 1 year.</t>
        </r>
      </text>
    </comment>
    <comment ref="A57" authorId="2">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9" authorId="2">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7.xml><?xml version="1.0" encoding="utf-8"?>
<comments xmlns="http://schemas.openxmlformats.org/spreadsheetml/2006/main">
  <authors>
    <author>jgsmith</author>
    <author xml:space="preserve"> </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B19" authorId="1">
      <text>
        <r>
          <rPr>
            <b/>
            <sz val="8"/>
            <color indexed="81"/>
            <rFont val="Tahoma"/>
            <family val="2"/>
          </rPr>
          <t>Enter lbs per acre of N applied.  Enter zero if you do not apply fertilizer.</t>
        </r>
      </text>
    </comment>
    <comment ref="D19" authorId="0">
      <text>
        <r>
          <rPr>
            <b/>
            <sz val="8"/>
            <color indexed="81"/>
            <rFont val="Tahoma"/>
            <family val="2"/>
          </rPr>
          <t>This number can be changed in the Universal Input Prices Sheet</t>
        </r>
      </text>
    </comment>
    <comment ref="D20" authorId="0">
      <text>
        <r>
          <rPr>
            <b/>
            <sz val="8"/>
            <color indexed="81"/>
            <rFont val="Tahoma"/>
            <family val="2"/>
          </rPr>
          <t>This number can be changed in the Universal Input Prices Sheet</t>
        </r>
      </text>
    </comment>
    <comment ref="D21" authorId="0">
      <text>
        <r>
          <rPr>
            <b/>
            <sz val="8"/>
            <color indexed="81"/>
            <rFont val="Tahoma"/>
            <family val="2"/>
          </rPr>
          <t>This number can be changed in the Universal Input Prices Sheet</t>
        </r>
      </text>
    </comment>
    <comment ref="A23"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5"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7" authorId="1">
      <text>
        <r>
          <rPr>
            <b/>
            <sz val="8"/>
            <color indexed="81"/>
            <rFont val="Tahoma"/>
            <family val="2"/>
          </rPr>
          <t>Not entered here. Automatically entered from above.</t>
        </r>
      </text>
    </comment>
    <comment ref="A30" authorId="1">
      <text>
        <r>
          <rPr>
            <b/>
            <sz val="8"/>
            <color indexed="81"/>
            <rFont val="Tahoma"/>
            <family val="2"/>
          </rPr>
          <t>Use the "other" rows to enter additional custom operations.</t>
        </r>
      </text>
    </comment>
    <comment ref="A34" authorId="1">
      <text>
        <r>
          <rPr>
            <b/>
            <sz val="8"/>
            <color indexed="81"/>
            <rFont val="Tahoma"/>
            <family val="2"/>
          </rPr>
          <t>Enter hourly labor rate and then hours of hired operator labor necessary per acre.</t>
        </r>
      </text>
    </comment>
    <comment ref="D34" authorId="0">
      <text>
        <r>
          <rPr>
            <b/>
            <sz val="8"/>
            <color indexed="81"/>
            <rFont val="Tahoma"/>
            <family val="2"/>
          </rPr>
          <t>This number can be changed in the Universal Input Prices Sheet</t>
        </r>
      </text>
    </comment>
    <comment ref="A35" authorId="1">
      <text>
        <r>
          <rPr>
            <b/>
            <sz val="8"/>
            <color indexed="81"/>
            <rFont val="Tahoma"/>
            <family val="2"/>
          </rPr>
          <t>Enter expected diesel fuel price and then quantity of fuel required per acre for the operations performed with owned equipment.</t>
        </r>
      </text>
    </comment>
    <comment ref="D35" authorId="0">
      <text>
        <r>
          <rPr>
            <b/>
            <sz val="8"/>
            <color indexed="81"/>
            <rFont val="Tahoma"/>
            <family val="2"/>
          </rPr>
          <t>This number can be changed in the Universal Input Prices Sheet</t>
        </r>
      </text>
    </comment>
    <comment ref="A36" authorId="1">
      <text>
        <r>
          <rPr>
            <b/>
            <sz val="8"/>
            <color indexed="81"/>
            <rFont val="Tahoma"/>
            <family val="2"/>
          </rPr>
          <t>Enter pickup fuel price and an estimate of the gallons of pickup fuel that will be used per acre.</t>
        </r>
      </text>
    </comment>
    <comment ref="D36" authorId="0">
      <text>
        <r>
          <rPr>
            <b/>
            <sz val="8"/>
            <color indexed="81"/>
            <rFont val="Tahoma"/>
            <family val="2"/>
          </rPr>
          <t>This number can be changed in the Universal Input Prices Sheet</t>
        </r>
      </text>
    </comment>
    <comment ref="A37" authorId="1">
      <text>
        <r>
          <rPr>
            <b/>
            <sz val="8"/>
            <color indexed="81"/>
            <rFont val="Tahoma"/>
            <family val="2"/>
          </rPr>
          <t>Enter your per acre estimate of repairs and maintenance that will be required to maintain implements, tractors and pickups.</t>
        </r>
      </text>
    </comment>
    <comment ref="B43" authorId="0">
      <text>
        <r>
          <rPr>
            <b/>
            <sz val="8"/>
            <color indexed="81"/>
            <rFont val="Tahoma"/>
            <family val="2"/>
          </rPr>
          <t>This number can be changed in the Universal Input Prices Sheet</t>
        </r>
      </text>
    </comment>
    <comment ref="F43" authorId="0">
      <text>
        <r>
          <rPr>
            <b/>
            <sz val="8"/>
            <color indexed="81"/>
            <rFont val="Tahoma"/>
            <family val="2"/>
          </rPr>
          <t>Calculation assumes that an amount 1/2 of the above pre-harvest direct expenses will be borrowed for 1 year.</t>
        </r>
      </text>
    </comment>
    <comment ref="G43" authorId="0">
      <text>
        <r>
          <rPr>
            <b/>
            <sz val="8"/>
            <color indexed="81"/>
            <rFont val="Tahoma"/>
            <family val="2"/>
          </rPr>
          <t>Calculation assumes that an amount 1/2 of the above pre-harvest direct expenses will be borrowed for 1 year.</t>
        </r>
      </text>
    </comment>
    <comment ref="H43" authorId="0">
      <text>
        <r>
          <rPr>
            <b/>
            <sz val="8"/>
            <color indexed="81"/>
            <rFont val="Tahoma"/>
            <family val="2"/>
          </rPr>
          <t>Calculation assumes that an amount 1/2 of the above pre-harvest direct expenses will be borrowed for 1 year.</t>
        </r>
      </text>
    </comment>
    <comment ref="A54" authorId="2">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6" authorId="2">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8.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Program calculates tons of seed using the seed turnout entered on the Universal Input sheet.</t>
        </r>
      </text>
    </comment>
    <comment ref="D10" authorId="0">
      <text>
        <r>
          <rPr>
            <b/>
            <sz val="8"/>
            <color indexed="81"/>
            <rFont val="Tahoma"/>
            <family val="2"/>
          </rPr>
          <t>This number can be changed in the Universal Input Prices Sheet</t>
        </r>
      </text>
    </comment>
    <comment ref="B11" authorId="0">
      <text>
        <r>
          <rPr>
            <b/>
            <sz val="8"/>
            <color indexed="81"/>
            <rFont val="Tahoma"/>
            <family val="2"/>
          </rPr>
          <t>Enter turnout rate (lint as a percentage of total seed cotton) as in .25 for 25% turnout.  This will be used to estimate total seed cotton based on projected yield.  Ginning costs are then estimated based on the Seed Cotton per acre.</t>
        </r>
      </text>
    </comment>
    <comment ref="B12" authorId="0">
      <text>
        <r>
          <rPr>
            <b/>
            <sz val="8"/>
            <color indexed="81"/>
            <rFont val="Tahoma"/>
            <family val="2"/>
          </rPr>
          <t>Enter dollars of other income per ground acre.</t>
        </r>
      </text>
    </comment>
    <comment ref="B17" authorId="0">
      <text>
        <r>
          <rPr>
            <b/>
            <sz val="8"/>
            <color indexed="81"/>
            <rFont val="Tahoma"/>
            <family val="2"/>
          </rPr>
          <t>Enter the percentage of a bag required to plant an acre of cotton. Ex: if 1 bag plants 5 acres, enter 0.20</t>
        </r>
      </text>
    </comment>
    <comment ref="D17" authorId="0">
      <text>
        <r>
          <rPr>
            <b/>
            <sz val="8"/>
            <color indexed="81"/>
            <rFont val="Tahoma"/>
            <family val="2"/>
          </rPr>
          <t>Enter expected cost per bag of seed you plan to plant, and any associated tech fees.</t>
        </r>
      </text>
    </comment>
    <comment ref="D18" authorId="0">
      <text>
        <r>
          <rPr>
            <b/>
            <sz val="8"/>
            <color indexed="81"/>
            <rFont val="Tahoma"/>
            <family val="2"/>
          </rPr>
          <t xml:space="preserve">Enter the specific boll weevil assessment per acre for your area.
</t>
        </r>
      </text>
    </comment>
    <comment ref="B20" authorId="0">
      <text>
        <r>
          <rPr>
            <b/>
            <sz val="8"/>
            <color indexed="81"/>
            <rFont val="Tahoma"/>
            <family val="2"/>
          </rPr>
          <t>Enter lbs per acre of P applied.  Enter zero if you do not apply fertilizer.</t>
        </r>
      </text>
    </comment>
    <comment ref="D20" authorId="0">
      <text>
        <r>
          <rPr>
            <b/>
            <sz val="8"/>
            <color indexed="81"/>
            <rFont val="Tahoma"/>
            <family val="2"/>
          </rPr>
          <t>This number can be changed in the Universal Input Prices Sheet</t>
        </r>
      </text>
    </comment>
    <comment ref="B21" authorId="0">
      <text>
        <r>
          <rPr>
            <b/>
            <sz val="8"/>
            <color indexed="81"/>
            <rFont val="Tahoma"/>
            <family val="2"/>
          </rPr>
          <t xml:space="preserve">Enter lbs per acre of N applied.  Enter zero if you do not apply fertilizer.
</t>
        </r>
      </text>
    </comment>
    <comment ref="D21" authorId="0">
      <text>
        <r>
          <rPr>
            <b/>
            <sz val="8"/>
            <color indexed="81"/>
            <rFont val="Tahoma"/>
            <family val="2"/>
          </rPr>
          <t>This number can be changed in the Universal Input Prices Sheet</t>
        </r>
      </text>
    </comment>
    <comment ref="D22" authorId="0">
      <text>
        <r>
          <rPr>
            <b/>
            <sz val="8"/>
            <color indexed="81"/>
            <rFont val="Tahoma"/>
            <family val="2"/>
          </rPr>
          <t>This number can be changed in the Universal Input Prices Sheet</t>
        </r>
      </text>
    </comment>
    <comment ref="A24"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5" authorId="2">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6" authorId="2">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7"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8"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29" authorId="1">
      <text>
        <r>
          <rPr>
            <b/>
            <sz val="8"/>
            <color indexed="81"/>
            <rFont val="Tahoma"/>
            <family val="2"/>
          </rPr>
          <t>Enter the total cost of harvest aids including any custom hired application costs.  If performed with your owned equipment the application costs should be included as part of the totals entered in operator labor, tractor fuel, repair and maintenance and fixed expenses.</t>
        </r>
      </text>
    </comment>
    <comment ref="B30" authorId="0">
      <text>
        <r>
          <rPr>
            <b/>
            <sz val="8"/>
            <color indexed="81"/>
            <rFont val="Tahoma"/>
            <family val="2"/>
          </rPr>
          <t>Not entered here. Automatically entered from above.</t>
        </r>
      </text>
    </comment>
    <comment ref="D30" authorId="0">
      <text>
        <r>
          <rPr>
            <b/>
            <sz val="8"/>
            <color indexed="81"/>
            <rFont val="Tahoma"/>
            <family val="2"/>
          </rPr>
          <t>This number can be changed in the Universal Input Prices Sheet</t>
        </r>
      </text>
    </comment>
    <comment ref="B31" authorId="0">
      <text>
        <r>
          <rPr>
            <b/>
            <sz val="8"/>
            <color indexed="81"/>
            <rFont val="Tahoma"/>
            <family val="2"/>
          </rPr>
          <t xml:space="preserve">Total cwts of seed cotton calculated from projected yield and turnout. </t>
        </r>
      </text>
    </comment>
    <comment ref="D31" authorId="0">
      <text>
        <r>
          <rPr>
            <b/>
            <sz val="8"/>
            <color indexed="81"/>
            <rFont val="Tahoma"/>
            <family val="2"/>
          </rPr>
          <t>This number can be changed in the Universal Input Prices Sheet</t>
        </r>
      </text>
    </comment>
    <comment ref="A34" authorId="0">
      <text>
        <r>
          <rPr>
            <b/>
            <sz val="8"/>
            <color indexed="81"/>
            <rFont val="Tahoma"/>
            <family val="2"/>
          </rPr>
          <t>Use the "other" rows to enter additional custom operations.</t>
        </r>
      </text>
    </comment>
    <comment ref="A38" authorId="0">
      <text>
        <r>
          <rPr>
            <b/>
            <sz val="8"/>
            <color indexed="81"/>
            <rFont val="Tahoma"/>
            <family val="2"/>
          </rPr>
          <t xml:space="preserve">Enter hourly labor rate and then hours of hired operator labor necessary per acre.
</t>
        </r>
      </text>
    </comment>
    <comment ref="D38" authorId="0">
      <text>
        <r>
          <rPr>
            <b/>
            <sz val="8"/>
            <color indexed="81"/>
            <rFont val="Tahoma"/>
            <family val="2"/>
          </rPr>
          <t>This number can be changed in the Universal Input Prices Sheet</t>
        </r>
      </text>
    </comment>
    <comment ref="A39" authorId="0">
      <text>
        <r>
          <rPr>
            <b/>
            <sz val="8"/>
            <color indexed="81"/>
            <rFont val="Tahoma"/>
            <family val="2"/>
          </rPr>
          <t>Enter expected diesel fuel price and then quantity of fuel required per acre for the operations performed with owned equipment.</t>
        </r>
      </text>
    </comment>
    <comment ref="D39" authorId="0">
      <text>
        <r>
          <rPr>
            <b/>
            <sz val="8"/>
            <color indexed="81"/>
            <rFont val="Tahoma"/>
            <family val="2"/>
          </rPr>
          <t>This number can be changed in the Universal Input Prices Sheet</t>
        </r>
      </text>
    </comment>
    <comment ref="A40" authorId="0">
      <text>
        <r>
          <rPr>
            <b/>
            <sz val="8"/>
            <color indexed="81"/>
            <rFont val="Tahoma"/>
            <family val="2"/>
          </rPr>
          <t>Enter pickup fuel price and an estimate of the gallons of pickup fuel that will be used per acre.</t>
        </r>
      </text>
    </comment>
    <comment ref="D40" authorId="0">
      <text>
        <r>
          <rPr>
            <b/>
            <sz val="8"/>
            <color indexed="81"/>
            <rFont val="Tahoma"/>
            <family val="2"/>
          </rPr>
          <t>This number can be changed in the Universal Input Prices Sheet</t>
        </r>
      </text>
    </comment>
    <comment ref="A41" authorId="0">
      <text>
        <r>
          <rPr>
            <b/>
            <sz val="8"/>
            <color indexed="81"/>
            <rFont val="Tahoma"/>
            <family val="2"/>
          </rPr>
          <t>Enter your per acre estimate of repairs and maintenance that will be required to maintain implements, tractors and pickups.</t>
        </r>
      </text>
    </comment>
    <comment ref="B47" authorId="0">
      <text>
        <r>
          <rPr>
            <b/>
            <sz val="8"/>
            <color indexed="81"/>
            <rFont val="Tahoma"/>
            <family val="2"/>
          </rPr>
          <t>This number can be changed in the Universal Input Prices Sheet</t>
        </r>
      </text>
    </comment>
    <comment ref="F47" authorId="0">
      <text>
        <r>
          <rPr>
            <b/>
            <sz val="8"/>
            <color indexed="81"/>
            <rFont val="Tahoma"/>
            <family val="2"/>
          </rPr>
          <t>Calculation assumes that an amount 1/2 of the above pre-harvest direct expenses will be borrowed for 1 year.</t>
        </r>
      </text>
    </comment>
    <comment ref="G47" authorId="0">
      <text>
        <r>
          <rPr>
            <b/>
            <sz val="8"/>
            <color indexed="81"/>
            <rFont val="Tahoma"/>
            <family val="2"/>
          </rPr>
          <t>Calculation assumes that an amount 1/2 of the above pre-harvest direct expenses will be borrowed for 1 year.</t>
        </r>
      </text>
    </comment>
    <comment ref="H47" authorId="0">
      <text>
        <r>
          <rPr>
            <b/>
            <sz val="8"/>
            <color indexed="81"/>
            <rFont val="Tahoma"/>
            <family val="2"/>
          </rPr>
          <t>Calculation assumes that an amount 1/2 of the above pre-harvest direct expenses will be borrowed for 1 year.</t>
        </r>
      </text>
    </comment>
    <comment ref="A58"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60"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19.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B17" authorId="0">
      <text>
        <r>
          <rPr>
            <b/>
            <sz val="8"/>
            <color indexed="81"/>
            <rFont val="Tahoma"/>
            <family val="2"/>
          </rPr>
          <t xml:space="preserve">Enter lbs per acre of N applied.  Enter zero if you do not apply fertilizer.
</t>
        </r>
      </text>
    </comment>
    <comment ref="D17" authorId="0">
      <text>
        <r>
          <rPr>
            <b/>
            <sz val="8"/>
            <color indexed="81"/>
            <rFont val="Tahoma"/>
            <family val="2"/>
          </rPr>
          <t>This number can be changed in the Universal Input Prices Sheet</t>
        </r>
      </text>
    </comment>
    <comment ref="D18" authorId="0">
      <text>
        <r>
          <rPr>
            <b/>
            <sz val="8"/>
            <color indexed="81"/>
            <rFont val="Tahoma"/>
            <family val="2"/>
          </rPr>
          <t>This number can be changed in the Universal Input Prices Sheet</t>
        </r>
      </text>
    </comment>
    <comment ref="D19" authorId="0">
      <text>
        <r>
          <rPr>
            <b/>
            <sz val="8"/>
            <color indexed="81"/>
            <rFont val="Tahoma"/>
            <family val="2"/>
          </rPr>
          <t>This number can be changed in the Universal Input Prices Sheet</t>
        </r>
      </text>
    </comment>
    <comment ref="A21"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5" authorId="2">
      <text>
        <r>
          <rPr>
            <b/>
            <sz val="8"/>
            <color indexed="81"/>
            <rFont val="Tahoma"/>
            <family val="2"/>
          </rPr>
          <t>Not entered here. Automatically entered from above.</t>
        </r>
      </text>
    </comment>
    <comment ref="A28" authorId="0">
      <text>
        <r>
          <rPr>
            <b/>
            <sz val="8"/>
            <color indexed="81"/>
            <rFont val="Tahoma"/>
            <family val="2"/>
          </rPr>
          <t>Use the "other" rows to enter additional custom operations.</t>
        </r>
      </text>
    </comment>
    <comment ref="A32" authorId="0">
      <text>
        <r>
          <rPr>
            <b/>
            <sz val="8"/>
            <color indexed="81"/>
            <rFont val="Tahoma"/>
            <family val="2"/>
          </rPr>
          <t xml:space="preserve">Enter hourly labor rate and then hours of hired operator labor necessary per acre.
</t>
        </r>
      </text>
    </comment>
    <comment ref="D32" authorId="0">
      <text>
        <r>
          <rPr>
            <b/>
            <sz val="8"/>
            <color indexed="81"/>
            <rFont val="Tahoma"/>
            <family val="2"/>
          </rPr>
          <t>This number can be changed in the Universal Input Prices Sheet</t>
        </r>
      </text>
    </comment>
    <comment ref="A33" authorId="0">
      <text>
        <r>
          <rPr>
            <b/>
            <sz val="8"/>
            <color indexed="81"/>
            <rFont val="Tahoma"/>
            <family val="2"/>
          </rPr>
          <t>Enter expected diesel fuel price and then quantity of fuel required per acre for the operations performed with owned equipment.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pickup fuel price and an estimate of the gallons of pickup fuel that will be used per acre.</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your per acre estimate of repairs and maintenance that will be required to maintain implements, tractors and pickups.</t>
        </r>
      </text>
    </comment>
    <comment ref="B41" authorId="0">
      <text>
        <r>
          <rPr>
            <b/>
            <sz val="8"/>
            <color indexed="81"/>
            <rFont val="Tahoma"/>
            <family val="2"/>
          </rPr>
          <t>This number can be changed in the Universal Input Prices Sheet</t>
        </r>
      </text>
    </comment>
    <comment ref="F41" authorId="0">
      <text>
        <r>
          <rPr>
            <b/>
            <sz val="8"/>
            <color indexed="81"/>
            <rFont val="Tahoma"/>
            <family val="2"/>
          </rPr>
          <t>Calculation assumes that an amount 1/2 of the above pre-harvest direct expenses will be borrowed for 1 year.</t>
        </r>
      </text>
    </comment>
    <comment ref="G41" authorId="0">
      <text>
        <r>
          <rPr>
            <b/>
            <sz val="8"/>
            <color indexed="81"/>
            <rFont val="Tahoma"/>
            <family val="2"/>
          </rPr>
          <t>Calculation assumes that an amount 1/2 of the above pre-harvest direct expenses will be borrowed for 1 year.</t>
        </r>
      </text>
    </comment>
    <comment ref="H41" authorId="0">
      <text>
        <r>
          <rPr>
            <b/>
            <sz val="8"/>
            <color indexed="81"/>
            <rFont val="Tahoma"/>
            <family val="2"/>
          </rPr>
          <t>Calculation assumes that an amount 1/2 of the above pre-harvest direct expenses will be borrowed for 1 year.</t>
        </r>
      </text>
    </comment>
    <comment ref="A52"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4"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2.xml><?xml version="1.0" encoding="utf-8"?>
<comments xmlns="http://schemas.openxmlformats.org/spreadsheetml/2006/main">
  <authors>
    <author>jgsmith</author>
    <author xml:space="preserve"> </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D19" authorId="0">
      <text>
        <r>
          <rPr>
            <b/>
            <sz val="8"/>
            <color indexed="81"/>
            <rFont val="Tahoma"/>
            <family val="2"/>
          </rPr>
          <t>This number can be changed in the Universal Input Prices Sheet</t>
        </r>
      </text>
    </comment>
    <comment ref="D20" authorId="0">
      <text>
        <r>
          <rPr>
            <b/>
            <sz val="8"/>
            <color indexed="81"/>
            <rFont val="Tahoma"/>
            <family val="2"/>
          </rPr>
          <t>This number can be changed in the Universal Input Prices Sheet</t>
        </r>
      </text>
    </comment>
    <comment ref="D21" authorId="0">
      <text>
        <r>
          <rPr>
            <b/>
            <sz val="8"/>
            <color indexed="81"/>
            <rFont val="Tahoma"/>
            <family val="2"/>
          </rPr>
          <t>This number can be changed in the Universal Input Prices Sheet</t>
        </r>
      </text>
    </comment>
    <comment ref="A23"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5"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34" authorId="1">
      <text>
        <r>
          <rPr>
            <b/>
            <sz val="8"/>
            <color indexed="81"/>
            <rFont val="Tahoma"/>
            <family val="2"/>
          </rPr>
          <t>Enter hourly labor rate and then hours of hired operator labor necessary per acre.</t>
        </r>
      </text>
    </comment>
    <comment ref="D34" authorId="0">
      <text>
        <r>
          <rPr>
            <b/>
            <sz val="8"/>
            <color indexed="81"/>
            <rFont val="Tahoma"/>
            <family val="2"/>
          </rPr>
          <t>This number can be changed in the Universal Input Prices Sheet</t>
        </r>
      </text>
    </comment>
    <comment ref="D35" authorId="0">
      <text>
        <r>
          <rPr>
            <b/>
            <sz val="8"/>
            <color indexed="81"/>
            <rFont val="Tahoma"/>
            <family val="2"/>
          </rPr>
          <t>This number can be changed in the Universal Input Prices Sheet</t>
        </r>
      </text>
    </comment>
    <comment ref="A36" authorId="1">
      <text>
        <r>
          <rPr>
            <b/>
            <sz val="8"/>
            <color indexed="81"/>
            <rFont val="Tahoma"/>
            <family val="2"/>
          </rPr>
          <t>Enter expected diesel fuel price and then quantity of fuel required per acre for the operations performed with owned equipment.</t>
        </r>
      </text>
    </comment>
    <comment ref="D36" authorId="0">
      <text>
        <r>
          <rPr>
            <b/>
            <sz val="8"/>
            <color indexed="81"/>
            <rFont val="Tahoma"/>
            <family val="2"/>
          </rPr>
          <t>This number can be changed in the Universal Input Prices Sheet</t>
        </r>
      </text>
    </comment>
    <comment ref="A37" authorId="1">
      <text>
        <r>
          <rPr>
            <b/>
            <sz val="8"/>
            <color indexed="81"/>
            <rFont val="Tahoma"/>
            <family val="2"/>
          </rPr>
          <t>Enter pickup fuel price and an estimate of the gallons of pickup fuel that will be used per acre.</t>
        </r>
      </text>
    </comment>
    <comment ref="D37" authorId="0">
      <text>
        <r>
          <rPr>
            <b/>
            <sz val="8"/>
            <color indexed="81"/>
            <rFont val="Tahoma"/>
            <family val="2"/>
          </rPr>
          <t>This number can be changed in the Universal Input Prices Sheet</t>
        </r>
      </text>
    </comment>
    <comment ref="A38" authorId="1">
      <text>
        <r>
          <rPr>
            <b/>
            <sz val="8"/>
            <color indexed="81"/>
            <rFont val="Tahoma"/>
            <family val="2"/>
          </rPr>
          <t>Enter estimated fuel costs per ac-in of water applied and then enter expected amount of water to be applied in ac-in.</t>
        </r>
      </text>
    </comment>
    <comment ref="D38" authorId="0">
      <text>
        <r>
          <rPr>
            <b/>
            <sz val="8"/>
            <color indexed="81"/>
            <rFont val="Tahoma"/>
            <family val="2"/>
          </rPr>
          <t>This number can be changed in the Universal Input Prices Sheet</t>
        </r>
      </text>
    </comment>
    <comment ref="A39" authorId="2">
      <text>
        <r>
          <rPr>
            <b/>
            <sz val="9"/>
            <color indexed="81"/>
            <rFont val="Tahoma"/>
            <family val="2"/>
          </rPr>
          <t>Enter the number of 24 hour days to pump the amount of water indicated in Irrigation Fuel.</t>
        </r>
      </text>
    </comment>
    <comment ref="A41" authorId="1">
      <text>
        <r>
          <rPr>
            <b/>
            <sz val="8"/>
            <color indexed="81"/>
            <rFont val="Tahoma"/>
            <family val="2"/>
          </rPr>
          <t>Enter your per acre estimate of repairs and maintenance that will be required to maintain implements, tractors and pickups.</t>
        </r>
      </text>
    </comment>
    <comment ref="B47" authorId="0">
      <text>
        <r>
          <rPr>
            <b/>
            <sz val="8"/>
            <color indexed="81"/>
            <rFont val="Tahoma"/>
            <family val="2"/>
          </rPr>
          <t>This number can be changed in the Universal Input Prices Sheet</t>
        </r>
      </text>
    </comment>
    <comment ref="F47" authorId="0">
      <text>
        <r>
          <rPr>
            <b/>
            <sz val="8"/>
            <color indexed="81"/>
            <rFont val="Tahoma"/>
            <family val="2"/>
          </rPr>
          <t>Calculation assumes that an amount 1/2 of the above pre-harvest direct expenses will be borrowed for 1 year.</t>
        </r>
      </text>
    </comment>
    <comment ref="G47" authorId="0">
      <text>
        <r>
          <rPr>
            <b/>
            <sz val="8"/>
            <color indexed="81"/>
            <rFont val="Tahoma"/>
            <family val="2"/>
          </rPr>
          <t>Calculation assumes that an amount 1/2 of the above pre-harvest direct expenses will be borrowed for 1 year.</t>
        </r>
      </text>
    </comment>
    <comment ref="H47" authorId="0">
      <text>
        <r>
          <rPr>
            <b/>
            <sz val="8"/>
            <color indexed="81"/>
            <rFont val="Tahoma"/>
            <family val="2"/>
          </rPr>
          <t>Calculation assumes that an amount 1/2 of the above pre-harvest direct expenses will be borrowed for 1 year.</t>
        </r>
      </text>
    </comment>
    <comment ref="A58" authorId="2">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60" authorId="2">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20.xml><?xml version="1.0" encoding="utf-8"?>
<comments xmlns="http://schemas.openxmlformats.org/spreadsheetml/2006/main">
  <authors>
    <author>Jay Yates</author>
    <author>jgsmith</author>
  </authors>
  <commentList>
    <comment ref="B9" authorId="0">
      <text>
        <r>
          <rPr>
            <b/>
            <sz val="9"/>
            <color indexed="81"/>
            <rFont val="Tahoma"/>
            <family val="2"/>
          </rPr>
          <t>Enter the expected pounds of gain per acre for the entire period stockers will be on sorghum sudangrass.</t>
        </r>
      </text>
    </comment>
    <comment ref="D9" authorId="0">
      <text>
        <r>
          <rPr>
            <b/>
            <sz val="9"/>
            <color indexed="81"/>
            <rFont val="Tahoma"/>
            <family val="2"/>
          </rPr>
          <t>This number can be changed in the Universal Input Prices Sheet</t>
        </r>
      </text>
    </comment>
    <comment ref="B10" authorId="1">
      <text>
        <r>
          <rPr>
            <b/>
            <sz val="8"/>
            <color indexed="81"/>
            <rFont val="Tahoma"/>
            <family val="2"/>
          </rPr>
          <t>Enter dollars of other income per ground acre.</t>
        </r>
      </text>
    </comment>
    <comment ref="D17" authorId="1">
      <text>
        <r>
          <rPr>
            <b/>
            <sz val="8"/>
            <color indexed="81"/>
            <rFont val="Tahoma"/>
            <family val="2"/>
          </rPr>
          <t>This number can be changed in the Universal Input Prices Sheet</t>
        </r>
      </text>
    </comment>
    <comment ref="D18" authorId="1">
      <text>
        <r>
          <rPr>
            <b/>
            <sz val="8"/>
            <color indexed="81"/>
            <rFont val="Tahoma"/>
            <family val="2"/>
          </rPr>
          <t>This number can be changed in the Universal Input Prices Sheet</t>
        </r>
      </text>
    </comment>
    <comment ref="D19" authorId="1">
      <text>
        <r>
          <rPr>
            <b/>
            <sz val="8"/>
            <color indexed="81"/>
            <rFont val="Tahoma"/>
            <family val="2"/>
          </rPr>
          <t>This number can be changed in the Universal Input Prices Sheet</t>
        </r>
      </text>
    </comment>
    <comment ref="A21" authorId="0">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0">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3" authorId="0">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27" authorId="1">
      <text>
        <r>
          <rPr>
            <b/>
            <sz val="8"/>
            <color indexed="81"/>
            <rFont val="Tahoma"/>
            <family val="2"/>
          </rPr>
          <t>Use the "other" rows to enter additional custom operations.</t>
        </r>
      </text>
    </comment>
    <comment ref="A31" authorId="1">
      <text>
        <r>
          <rPr>
            <b/>
            <sz val="8"/>
            <color indexed="81"/>
            <rFont val="Tahoma"/>
            <family val="2"/>
          </rPr>
          <t>Enter hourly labor rate and then hours of hired operator labor necessary per acre.</t>
        </r>
      </text>
    </comment>
    <comment ref="D31" authorId="1">
      <text>
        <r>
          <rPr>
            <b/>
            <sz val="8"/>
            <color indexed="81"/>
            <rFont val="Tahoma"/>
            <family val="2"/>
          </rPr>
          <t>This number can be changed in the Universal Input Prices Sheet</t>
        </r>
      </text>
    </comment>
    <comment ref="A32" authorId="1">
      <text>
        <r>
          <rPr>
            <b/>
            <sz val="8"/>
            <color indexed="81"/>
            <rFont val="Tahoma"/>
            <family val="2"/>
          </rPr>
          <t>Enter expected diesel fuel price and then quantity of fuel required per acre for the operations performed with owned equipment.</t>
        </r>
      </text>
    </comment>
    <comment ref="D32" authorId="1">
      <text>
        <r>
          <rPr>
            <b/>
            <sz val="8"/>
            <color indexed="81"/>
            <rFont val="Tahoma"/>
            <family val="2"/>
          </rPr>
          <t>This number can be changed in the Universal Input Prices Sheet</t>
        </r>
      </text>
    </comment>
    <comment ref="A33" authorId="1">
      <text>
        <r>
          <rPr>
            <b/>
            <sz val="8"/>
            <color indexed="81"/>
            <rFont val="Tahoma"/>
            <family val="2"/>
          </rPr>
          <t>Enter pickup fuel price and an estimate of the gallons of pickup fuel that will be used per acre.</t>
        </r>
      </text>
    </comment>
    <comment ref="D33" authorId="1">
      <text>
        <r>
          <rPr>
            <b/>
            <sz val="8"/>
            <color indexed="81"/>
            <rFont val="Tahoma"/>
            <family val="2"/>
          </rPr>
          <t>This number can be changed in the Universal Input Prices Sheet</t>
        </r>
      </text>
    </comment>
    <comment ref="A34" authorId="1">
      <text>
        <r>
          <rPr>
            <b/>
            <sz val="8"/>
            <color indexed="81"/>
            <rFont val="Tahoma"/>
            <family val="2"/>
          </rPr>
          <t>Enter your per acre estimate of repairs and maintenance that will be required to maintain implements, tractors and pickups.</t>
        </r>
      </text>
    </comment>
    <comment ref="B40" authorId="1">
      <text>
        <r>
          <rPr>
            <b/>
            <sz val="8"/>
            <color indexed="81"/>
            <rFont val="Tahoma"/>
            <family val="2"/>
          </rPr>
          <t>This number can be changed in the Universal Input Prices Sheet</t>
        </r>
      </text>
    </comment>
    <comment ref="F40" authorId="1">
      <text>
        <r>
          <rPr>
            <b/>
            <sz val="8"/>
            <color indexed="81"/>
            <rFont val="Tahoma"/>
            <family val="2"/>
          </rPr>
          <t>Calculation assumes that an amount 1/2 of the above pre-harvest direct expenses will be borrowed for 1 year.</t>
        </r>
      </text>
    </comment>
    <comment ref="G40" authorId="1">
      <text>
        <r>
          <rPr>
            <b/>
            <sz val="8"/>
            <color indexed="81"/>
            <rFont val="Tahoma"/>
            <family val="2"/>
          </rPr>
          <t>Calculation assumes that an amount 1/2 of the above pre-harvest direct expenses will be borrowed for 1 year.</t>
        </r>
      </text>
    </comment>
    <comment ref="H40" authorId="1">
      <text>
        <r>
          <rPr>
            <b/>
            <sz val="8"/>
            <color indexed="81"/>
            <rFont val="Tahoma"/>
            <family val="2"/>
          </rPr>
          <t>Calculation assumes that an amount 1/2 of the above pre-harvest direct expenses will be borrowed for 1 year.</t>
        </r>
      </text>
    </comment>
    <comment ref="A51" authorId="0">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3" authorId="0">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21.xml><?xml version="1.0" encoding="utf-8"?>
<comments xmlns="http://schemas.openxmlformats.org/spreadsheetml/2006/main">
  <authors>
    <author>jgsmith</author>
    <author xml:space="preserve"> </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B17" authorId="1">
      <text>
        <r>
          <rPr>
            <b/>
            <sz val="8"/>
            <color indexed="81"/>
            <rFont val="Tahoma"/>
            <family val="2"/>
          </rPr>
          <t>Enter lbs per acre of N applied.  Enter zero if you do not apply fertilizer.</t>
        </r>
      </text>
    </comment>
    <comment ref="D17" authorId="0">
      <text>
        <r>
          <rPr>
            <b/>
            <sz val="8"/>
            <color indexed="81"/>
            <rFont val="Tahoma"/>
            <family val="2"/>
          </rPr>
          <t>This number can be changed in the Universal Input Prices Sheet</t>
        </r>
      </text>
    </comment>
    <comment ref="D18" authorId="0">
      <text>
        <r>
          <rPr>
            <b/>
            <sz val="8"/>
            <color indexed="81"/>
            <rFont val="Tahoma"/>
            <family val="2"/>
          </rPr>
          <t>This number can be changed in the Universal Input Prices Sheet</t>
        </r>
      </text>
    </comment>
    <comment ref="D19" authorId="0">
      <text>
        <r>
          <rPr>
            <b/>
            <sz val="8"/>
            <color indexed="81"/>
            <rFont val="Tahoma"/>
            <family val="2"/>
          </rPr>
          <t>This number can be changed in the Universal Input Prices Sheet</t>
        </r>
      </text>
    </comment>
    <comment ref="A21"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5" authorId="1">
      <text>
        <r>
          <rPr>
            <b/>
            <sz val="8"/>
            <color indexed="81"/>
            <rFont val="Tahoma"/>
            <family val="2"/>
          </rPr>
          <t>Not entered here. Automatically entered from above.</t>
        </r>
      </text>
    </comment>
    <comment ref="A26" authorId="1">
      <text>
        <r>
          <rPr>
            <b/>
            <sz val="8"/>
            <color indexed="81"/>
            <rFont val="Tahoma"/>
            <family val="2"/>
          </rPr>
          <t>Enter the total cost of pesticides including any custom hired application costs.  If performed with your owned equipment the application costs should be included as part of the totals entered in operator labor, tractor fuel, repair and maintenance and fixed expenses.</t>
        </r>
      </text>
    </comment>
    <comment ref="A33" authorId="1">
      <text>
        <r>
          <rPr>
            <b/>
            <sz val="8"/>
            <color indexed="81"/>
            <rFont val="Tahoma"/>
            <family val="2"/>
          </rPr>
          <t>Enter hourly labor rate and then hours of hired operator labor necessary per acre.</t>
        </r>
      </text>
    </comment>
    <comment ref="D33" authorId="0">
      <text>
        <r>
          <rPr>
            <b/>
            <sz val="8"/>
            <color indexed="81"/>
            <rFont val="Tahoma"/>
            <family val="2"/>
          </rPr>
          <t>This number can be changed in the Universal Input Prices Sheet</t>
        </r>
      </text>
    </comment>
    <comment ref="A34" authorId="1">
      <text>
        <r>
          <rPr>
            <b/>
            <sz val="8"/>
            <color indexed="81"/>
            <rFont val="Tahoma"/>
            <family val="2"/>
          </rPr>
          <t>Enter expected diesel fuel price and then quantity of fuel required per acre for the operations performed with owned equipment.</t>
        </r>
      </text>
    </comment>
    <comment ref="D34" authorId="0">
      <text>
        <r>
          <rPr>
            <b/>
            <sz val="8"/>
            <color indexed="81"/>
            <rFont val="Tahoma"/>
            <family val="2"/>
          </rPr>
          <t>This number can be changed in the Universal Input Prices Sheet</t>
        </r>
      </text>
    </comment>
    <comment ref="A35" authorId="1">
      <text>
        <r>
          <rPr>
            <b/>
            <sz val="8"/>
            <color indexed="81"/>
            <rFont val="Tahoma"/>
            <family val="2"/>
          </rPr>
          <t>Enter pickup fuel price and an estimate of the gallons of pickup fuel that will be used per acre.</t>
        </r>
      </text>
    </comment>
    <comment ref="D35" authorId="0">
      <text>
        <r>
          <rPr>
            <b/>
            <sz val="8"/>
            <color indexed="81"/>
            <rFont val="Tahoma"/>
            <family val="2"/>
          </rPr>
          <t>This number can be changed in the Universal Input Prices Sheet</t>
        </r>
      </text>
    </comment>
    <comment ref="A36" authorId="1">
      <text>
        <r>
          <rPr>
            <b/>
            <sz val="8"/>
            <color indexed="81"/>
            <rFont val="Tahoma"/>
            <family val="2"/>
          </rPr>
          <t>Enter your per acre estimate of repairs and maintenance that will be required to maintain implements, tractors and pickups.</t>
        </r>
      </text>
    </comment>
    <comment ref="B42" authorId="0">
      <text>
        <r>
          <rPr>
            <b/>
            <sz val="8"/>
            <color indexed="81"/>
            <rFont val="Tahoma"/>
            <family val="2"/>
          </rPr>
          <t>This number can be changed in the Universal Input Prices Sheet</t>
        </r>
      </text>
    </comment>
    <comment ref="F42" authorId="0">
      <text>
        <r>
          <rPr>
            <b/>
            <sz val="8"/>
            <color indexed="81"/>
            <rFont val="Tahoma"/>
            <family val="2"/>
          </rPr>
          <t>Calculation assumes that an amount 1/2 of the above pre-harvest direct expenses will be borrowed for 1 year.</t>
        </r>
      </text>
    </comment>
    <comment ref="G42" authorId="0">
      <text>
        <r>
          <rPr>
            <b/>
            <sz val="8"/>
            <color indexed="81"/>
            <rFont val="Tahoma"/>
            <family val="2"/>
          </rPr>
          <t>Calculation assumes that an amount 1/2 of the above pre-harvest direct expenses will be borrowed for 1 year.</t>
        </r>
      </text>
    </comment>
    <comment ref="H42" authorId="0">
      <text>
        <r>
          <rPr>
            <b/>
            <sz val="8"/>
            <color indexed="81"/>
            <rFont val="Tahoma"/>
            <family val="2"/>
          </rPr>
          <t>Calculation assumes that an amount 1/2 of the above pre-harvest direct expenses will be borrowed for 1 year.</t>
        </r>
      </text>
    </comment>
    <comment ref="A53" authorId="2">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5" authorId="2">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22.xml><?xml version="1.0" encoding="utf-8"?>
<comments xmlns="http://schemas.openxmlformats.org/spreadsheetml/2006/main">
  <authors>
    <author>jgsmith</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1">
      <text>
        <r>
          <rPr>
            <b/>
            <sz val="9"/>
            <color indexed="81"/>
            <rFont val="Tahoma"/>
            <family val="2"/>
          </rPr>
          <t>Enter the expected pounds of gain per acre for the entire period stockers will be on wheat.</t>
        </r>
      </text>
    </comment>
    <comment ref="D10" authorId="1">
      <text>
        <r>
          <rPr>
            <b/>
            <sz val="9"/>
            <color indexed="81"/>
            <rFont val="Tahoma"/>
            <family val="2"/>
          </rPr>
          <t>This number can be changed in the Universal Input Prices Sheet</t>
        </r>
      </text>
    </comment>
    <comment ref="B11" authorId="0">
      <text>
        <r>
          <rPr>
            <b/>
            <sz val="8"/>
            <color indexed="81"/>
            <rFont val="Tahoma"/>
            <family val="2"/>
          </rPr>
          <t>Enter dollars of other income per ground acre.</t>
        </r>
      </text>
    </comment>
    <comment ref="B18" authorId="0">
      <text>
        <r>
          <rPr>
            <b/>
            <sz val="8"/>
            <color indexed="81"/>
            <rFont val="Tahoma"/>
            <family val="2"/>
          </rPr>
          <t xml:space="preserve">Enter lbs per acre of N applied.  Enter zero if you do not apply fertilizer.
</t>
        </r>
      </text>
    </comment>
    <comment ref="D18" authorId="0">
      <text>
        <r>
          <rPr>
            <b/>
            <sz val="8"/>
            <color indexed="81"/>
            <rFont val="Tahoma"/>
            <family val="2"/>
          </rPr>
          <t>This number can be changed in the Universal Input Prices Sheet</t>
        </r>
      </text>
    </comment>
    <comment ref="D19" authorId="0">
      <text>
        <r>
          <rPr>
            <b/>
            <sz val="8"/>
            <color indexed="81"/>
            <rFont val="Tahoma"/>
            <family val="2"/>
          </rPr>
          <t>This number can be changed in the Universal Input Prices Sheet</t>
        </r>
      </text>
    </comment>
    <comment ref="D20" authorId="0">
      <text>
        <r>
          <rPr>
            <b/>
            <sz val="8"/>
            <color indexed="81"/>
            <rFont val="Tahoma"/>
            <family val="2"/>
          </rPr>
          <t>This number can be changed in the Universal Input Prices Sheet</t>
        </r>
      </text>
    </comment>
    <comment ref="A22"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29" authorId="0">
      <text>
        <r>
          <rPr>
            <b/>
            <sz val="8"/>
            <color indexed="81"/>
            <rFont val="Tahoma"/>
            <family val="2"/>
          </rPr>
          <t>Use the "other" rows to enter additional custom operations.</t>
        </r>
      </text>
    </comment>
    <comment ref="A33" authorId="0">
      <text>
        <r>
          <rPr>
            <b/>
            <sz val="8"/>
            <color indexed="81"/>
            <rFont val="Tahoma"/>
            <family val="2"/>
          </rPr>
          <t xml:space="preserve">Enter hourly labor rate and then hours of hired operator labor necessary per acre.
</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expected diesel fuel price and then quantity of fuel required per acre for the operations performed with owned equipment.</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pickup fuel price and an estimate of the gallons of pickup fuel that will be used per acre.</t>
        </r>
      </text>
    </comment>
    <comment ref="D35" authorId="0">
      <text>
        <r>
          <rPr>
            <b/>
            <sz val="8"/>
            <color indexed="81"/>
            <rFont val="Tahoma"/>
            <family val="2"/>
          </rPr>
          <t>This number can be changed in the Universal Input Prices Sheet</t>
        </r>
      </text>
    </comment>
    <comment ref="A36" authorId="0">
      <text>
        <r>
          <rPr>
            <b/>
            <sz val="8"/>
            <color indexed="81"/>
            <rFont val="Tahoma"/>
            <family val="2"/>
          </rPr>
          <t>Enter your per acre estimate of repairs and maintenance that will be required to maintain implements, tractors and pickups.</t>
        </r>
      </text>
    </comment>
    <comment ref="B42" authorId="0">
      <text>
        <r>
          <rPr>
            <b/>
            <sz val="8"/>
            <color indexed="81"/>
            <rFont val="Tahoma"/>
            <family val="2"/>
          </rPr>
          <t>This number can be changed in the Universal Input Prices Sheet</t>
        </r>
      </text>
    </comment>
    <comment ref="F42" authorId="0">
      <text>
        <r>
          <rPr>
            <b/>
            <sz val="8"/>
            <color indexed="81"/>
            <rFont val="Tahoma"/>
            <family val="2"/>
          </rPr>
          <t>Calculation assumes that an amount 1/2 of the above pre-harvest direct expenses will be borrowed for 1 year.</t>
        </r>
      </text>
    </comment>
    <comment ref="G42" authorId="0">
      <text>
        <r>
          <rPr>
            <b/>
            <sz val="8"/>
            <color indexed="81"/>
            <rFont val="Tahoma"/>
            <family val="2"/>
          </rPr>
          <t>Calculation assumes that an amount 1/2 of the above pre-harvest direct expenses will be borrowed for 1 year.</t>
        </r>
      </text>
    </comment>
    <comment ref="H42" authorId="0">
      <text>
        <r>
          <rPr>
            <b/>
            <sz val="8"/>
            <color indexed="81"/>
            <rFont val="Tahoma"/>
            <family val="2"/>
          </rPr>
          <t>Calculation assumes that an amount 1/2 of the above pre-harvest direct expenses will be borrowed for 1 year.</t>
        </r>
      </text>
    </comment>
    <comment ref="A53"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5"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23.xml><?xml version="1.0" encoding="utf-8"?>
<comments xmlns="http://schemas.openxmlformats.org/spreadsheetml/2006/main">
  <authors>
    <author>Bridget Guerrero</author>
    <author>jgsmith</author>
    <author>Jay Yates</author>
  </authors>
  <commentList>
    <comment ref="A3" authorId="0">
      <text>
        <r>
          <rPr>
            <sz val="9"/>
            <color indexed="81"/>
            <rFont val="Tahoma"/>
            <family val="2"/>
          </rPr>
          <t>This can be changed in the Universal Input Prices Sheet</t>
        </r>
      </text>
    </comment>
    <comment ref="B9" authorId="1">
      <text>
        <r>
          <rPr>
            <b/>
            <sz val="8"/>
            <color indexed="81"/>
            <rFont val="Tahoma"/>
            <family val="2"/>
          </rPr>
          <t>Enter expected yield per ground acre.</t>
        </r>
      </text>
    </comment>
    <comment ref="D9" authorId="1">
      <text>
        <r>
          <rPr>
            <b/>
            <sz val="8"/>
            <color indexed="81"/>
            <rFont val="Tahoma"/>
            <family val="2"/>
          </rPr>
          <t>This number can be changed in the Universal Input Prices Sheet</t>
        </r>
      </text>
    </comment>
    <comment ref="B10" authorId="2">
      <text>
        <r>
          <rPr>
            <b/>
            <sz val="9"/>
            <color indexed="81"/>
            <rFont val="Tahoma"/>
            <family val="2"/>
          </rPr>
          <t>Enter the expected quantity of secondary income.</t>
        </r>
      </text>
    </comment>
    <comment ref="D10" authorId="2">
      <text>
        <r>
          <rPr>
            <b/>
            <sz val="9"/>
            <color indexed="81"/>
            <rFont val="Tahoma"/>
            <family val="2"/>
          </rPr>
          <t>Enter the price per unit of secondary income</t>
        </r>
      </text>
    </comment>
    <comment ref="B17" authorId="1">
      <text>
        <r>
          <rPr>
            <b/>
            <sz val="8"/>
            <color indexed="81"/>
            <rFont val="Tahoma"/>
            <family val="2"/>
          </rPr>
          <t>Enter lbs per acre of fertilizer applied.  Enter zero if you do not apply fertilizer.</t>
        </r>
        <r>
          <rPr>
            <sz val="8"/>
            <color indexed="81"/>
            <rFont val="Tahoma"/>
            <family val="2"/>
          </rPr>
          <t xml:space="preserve">
</t>
        </r>
      </text>
    </comment>
    <comment ref="D17" authorId="1">
      <text>
        <r>
          <rPr>
            <b/>
            <sz val="8"/>
            <color indexed="81"/>
            <rFont val="Tahoma"/>
            <family val="2"/>
          </rPr>
          <t>This number can be changed in the Universal Input Prices Sheet</t>
        </r>
      </text>
    </comment>
    <comment ref="B18" authorId="1">
      <text>
        <r>
          <rPr>
            <b/>
            <sz val="8"/>
            <color indexed="81"/>
            <rFont val="Tahoma"/>
            <family val="2"/>
          </rPr>
          <t>Enter lbs per acre of fertilizer applied.  Enter zero if you do not apply fertilizer.</t>
        </r>
        <r>
          <rPr>
            <sz val="8"/>
            <color indexed="81"/>
            <rFont val="Tahoma"/>
            <family val="2"/>
          </rPr>
          <t xml:space="preserve">
</t>
        </r>
      </text>
    </comment>
    <comment ref="D18" authorId="1">
      <text>
        <r>
          <rPr>
            <b/>
            <sz val="8"/>
            <color indexed="81"/>
            <rFont val="Tahoma"/>
            <family val="2"/>
          </rPr>
          <t>This number can be changed in the Universal Input Prices Sheet</t>
        </r>
      </text>
    </comment>
    <comment ref="B19" authorId="1">
      <text>
        <r>
          <rPr>
            <b/>
            <sz val="8"/>
            <color indexed="81"/>
            <rFont val="Tahoma"/>
            <family val="2"/>
          </rPr>
          <t>Enter lbs per acre of fertilizer applied.  Enter zero if you do not apply fertilizer.</t>
        </r>
        <r>
          <rPr>
            <sz val="8"/>
            <color indexed="81"/>
            <rFont val="Tahoma"/>
            <family val="2"/>
          </rPr>
          <t xml:space="preserve">
</t>
        </r>
      </text>
    </comment>
    <comment ref="D19" authorId="1">
      <text>
        <r>
          <rPr>
            <b/>
            <sz val="8"/>
            <color indexed="81"/>
            <rFont val="Tahoma"/>
            <family val="2"/>
          </rPr>
          <t>This number can be changed in the Universal Input Prices Sheet</t>
        </r>
      </text>
    </comment>
    <comment ref="B20" authorId="1">
      <text>
        <r>
          <rPr>
            <b/>
            <sz val="8"/>
            <color indexed="81"/>
            <rFont val="Tahoma"/>
            <family val="2"/>
          </rPr>
          <t>Enter lbs per acre of fertilizer applied.  Enter zero if you do not apply fertilizer.</t>
        </r>
        <r>
          <rPr>
            <sz val="8"/>
            <color indexed="81"/>
            <rFont val="Tahoma"/>
            <family val="2"/>
          </rPr>
          <t xml:space="preserve">
</t>
        </r>
      </text>
    </comment>
    <comment ref="D20" authorId="1">
      <text>
        <r>
          <rPr>
            <b/>
            <sz val="8"/>
            <color indexed="81"/>
            <rFont val="Tahoma"/>
            <family val="2"/>
          </rPr>
          <t>This number can be changed in the Universal Input Prices Sheet</t>
        </r>
      </text>
    </comment>
    <comment ref="B21" authorId="1">
      <text>
        <r>
          <rPr>
            <b/>
            <sz val="8"/>
            <color indexed="81"/>
            <rFont val="Tahoma"/>
            <family val="2"/>
          </rPr>
          <t>Enter lbs per acre of fertilizer applied.  Enter zero if you do not apply fertilizer.</t>
        </r>
        <r>
          <rPr>
            <sz val="8"/>
            <color indexed="81"/>
            <rFont val="Tahoma"/>
            <family val="2"/>
          </rPr>
          <t xml:space="preserve">
</t>
        </r>
      </text>
    </comment>
    <comment ref="D21" authorId="1">
      <text>
        <r>
          <rPr>
            <b/>
            <sz val="8"/>
            <color indexed="81"/>
            <rFont val="Tahoma"/>
            <family val="2"/>
          </rPr>
          <t>This number can be changed in the Universal Input Prices Sheet</t>
        </r>
      </text>
    </comment>
    <comment ref="A23" authorId="2">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4" authorId="2">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5" authorId="2">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29" authorId="1">
      <text>
        <r>
          <rPr>
            <b/>
            <sz val="8"/>
            <color indexed="81"/>
            <rFont val="Tahoma"/>
            <family val="2"/>
          </rPr>
          <t>Use the "other" rows to enter additional custom operations.</t>
        </r>
      </text>
    </comment>
    <comment ref="A33" authorId="1">
      <text>
        <r>
          <rPr>
            <b/>
            <sz val="8"/>
            <color indexed="81"/>
            <rFont val="Tahoma"/>
            <family val="2"/>
          </rPr>
          <t xml:space="preserve">Enter hourly labor rate and then hours of hired operator labor necessary per acre.
</t>
        </r>
      </text>
    </comment>
    <comment ref="D33" authorId="1">
      <text>
        <r>
          <rPr>
            <b/>
            <sz val="8"/>
            <color indexed="81"/>
            <rFont val="Tahoma"/>
            <family val="2"/>
          </rPr>
          <t>This number can be changed in the Universal Input Prices Sheet</t>
        </r>
      </text>
    </comment>
    <comment ref="A34" authorId="1">
      <text>
        <r>
          <rPr>
            <b/>
            <sz val="8"/>
            <color indexed="81"/>
            <rFont val="Tahoma"/>
            <family val="2"/>
          </rPr>
          <t>Enter expected diesel fuel price and then quantity of fuel required per acre for the operations performed with owned equipment.</t>
        </r>
      </text>
    </comment>
    <comment ref="D34" authorId="1">
      <text>
        <r>
          <rPr>
            <b/>
            <sz val="8"/>
            <color indexed="81"/>
            <rFont val="Tahoma"/>
            <family val="2"/>
          </rPr>
          <t>This number can be changed in the Universal Input Prices Sheet</t>
        </r>
      </text>
    </comment>
    <comment ref="A35" authorId="1">
      <text>
        <r>
          <rPr>
            <b/>
            <sz val="8"/>
            <color indexed="81"/>
            <rFont val="Tahoma"/>
            <family val="2"/>
          </rPr>
          <t>Enter pickup fuel price and an estimate of the gallons of pickup fuel that will be used per acre.</t>
        </r>
      </text>
    </comment>
    <comment ref="D35" authorId="1">
      <text>
        <r>
          <rPr>
            <b/>
            <sz val="8"/>
            <color indexed="81"/>
            <rFont val="Tahoma"/>
            <family val="2"/>
          </rPr>
          <t>This number can be changed in the Universal Input Prices Sheet</t>
        </r>
      </text>
    </comment>
    <comment ref="A36" authorId="1">
      <text>
        <r>
          <rPr>
            <b/>
            <sz val="8"/>
            <color indexed="81"/>
            <rFont val="Tahoma"/>
            <family val="2"/>
          </rPr>
          <t>Enter your per acre estimate of repairs and maintenance that will be required to maintain implements, tractors and pickups.</t>
        </r>
      </text>
    </comment>
    <comment ref="B42" authorId="1">
      <text>
        <r>
          <rPr>
            <b/>
            <sz val="8"/>
            <color indexed="81"/>
            <rFont val="Tahoma"/>
            <family val="2"/>
          </rPr>
          <t>This number can be changed in the Universal Input Prices Sheet</t>
        </r>
      </text>
    </comment>
    <comment ref="F42" authorId="1">
      <text>
        <r>
          <rPr>
            <b/>
            <sz val="8"/>
            <color indexed="81"/>
            <rFont val="Tahoma"/>
            <family val="2"/>
          </rPr>
          <t>Calculation assumes that an amount 1/2 of the above pre-harvest direct expenses will be borrowed for 1 year.</t>
        </r>
      </text>
    </comment>
    <comment ref="G42" authorId="1">
      <text>
        <r>
          <rPr>
            <b/>
            <sz val="8"/>
            <color indexed="81"/>
            <rFont val="Tahoma"/>
            <family val="2"/>
          </rPr>
          <t>Calculation assumes that an amount 1/2 of the above pre-harvest direct expenses will be borrowed for 1 year.</t>
        </r>
      </text>
    </comment>
    <comment ref="H42" authorId="1">
      <text>
        <r>
          <rPr>
            <b/>
            <sz val="8"/>
            <color indexed="81"/>
            <rFont val="Tahoma"/>
            <family val="2"/>
          </rPr>
          <t>Calculation assumes that an amount 1/2 of the above pre-harvest direct expenses will be borrowed for 1 year.</t>
        </r>
      </text>
    </comment>
    <comment ref="A53" authorId="2">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5" authorId="2">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24.xml><?xml version="1.0" encoding="utf-8"?>
<comments xmlns="http://schemas.openxmlformats.org/spreadsheetml/2006/main">
  <authors>
    <author>Agricultural Bookkeeping</author>
    <author>DeDe Jones</author>
  </authors>
  <commentList>
    <comment ref="A7" authorId="0">
      <text>
        <r>
          <rPr>
            <sz val="9"/>
            <color indexed="81"/>
            <rFont val="Tahoma"/>
            <family val="2"/>
          </rPr>
          <t>The amount of water in inches per acre that can be pumped on the property being analyzed.  The HPWD refers to this as the "Allowable Production Rate."  NPGCD refers to this as the "Allowable Annual Production" expressed in acre-feet per acre.  Enter here as inches.</t>
        </r>
      </text>
    </comment>
    <comment ref="A8" authorId="0">
      <text>
        <r>
          <rPr>
            <sz val="9"/>
            <color indexed="81"/>
            <rFont val="Tahoma"/>
            <family val="2"/>
          </rPr>
          <t>The total number of water right acres that make up the unit represented in this analysis.  In the HPWD this would be the "Contiguous Acres" as defined in the rules.  In the NPGCD this would be the "Property" as defined in the rules.</t>
        </r>
      </text>
    </comment>
    <comment ref="B10" authorId="1">
      <text>
        <r>
          <rPr>
            <b/>
            <sz val="9"/>
            <color indexed="81"/>
            <rFont val="Tahoma"/>
            <family val="2"/>
          </rPr>
          <t>Crop GPM per acre is automatically calculated from the ac-in of irrigation fuel applied in the crop budgets</t>
        </r>
      </text>
    </comment>
  </commentList>
</comments>
</file>

<file path=xl/comments3.xml><?xml version="1.0" encoding="utf-8"?>
<comments xmlns="http://schemas.openxmlformats.org/spreadsheetml/2006/main">
  <authors>
    <author>jgsmith</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D18" authorId="0">
      <text>
        <r>
          <rPr>
            <b/>
            <sz val="8"/>
            <color indexed="81"/>
            <rFont val="Tahoma"/>
            <family val="2"/>
          </rPr>
          <t>This number can be changed in the Universal Input Prices Sheet</t>
        </r>
      </text>
    </comment>
    <comment ref="B19" authorId="0">
      <text>
        <r>
          <rPr>
            <b/>
            <sz val="8"/>
            <color indexed="81"/>
            <rFont val="Tahoma"/>
            <family val="2"/>
          </rPr>
          <t>Enter lbs per acre of P applied.  Enter zero if you do not apply fertilizer.</t>
        </r>
        <r>
          <rPr>
            <sz val="8"/>
            <color indexed="81"/>
            <rFont val="Tahoma"/>
            <family val="2"/>
          </rPr>
          <t xml:space="preserve">
</t>
        </r>
      </text>
    </comment>
    <comment ref="D19" authorId="0">
      <text>
        <r>
          <rPr>
            <b/>
            <sz val="8"/>
            <color indexed="81"/>
            <rFont val="Tahoma"/>
            <family val="2"/>
          </rPr>
          <t>This number can be changed in the Universal Input Prices Sheet</t>
        </r>
      </text>
    </comment>
    <comment ref="B20" authorId="0">
      <text>
        <r>
          <rPr>
            <b/>
            <sz val="8"/>
            <color indexed="81"/>
            <rFont val="Tahoma"/>
            <family val="2"/>
          </rPr>
          <t xml:space="preserve">Enter lbs per acre of N applied.  Enter zero if you do not apply fertilizer.
</t>
        </r>
      </text>
    </comment>
    <comment ref="D20" authorId="0">
      <text>
        <r>
          <rPr>
            <b/>
            <sz val="8"/>
            <color indexed="81"/>
            <rFont val="Tahoma"/>
            <family val="2"/>
          </rPr>
          <t>This number can be changed in the Universal Input Prices Sheet</t>
        </r>
      </text>
    </comment>
    <comment ref="A22"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5" authorId="0">
      <text>
        <r>
          <rPr>
            <b/>
            <sz val="8"/>
            <color indexed="81"/>
            <rFont val="Tahoma"/>
            <family val="2"/>
          </rPr>
          <t>Not entered here. Automatically entered from above.</t>
        </r>
      </text>
    </comment>
    <comment ref="D25" authorId="0">
      <text>
        <r>
          <rPr>
            <b/>
            <sz val="8"/>
            <color indexed="81"/>
            <rFont val="Tahoma"/>
            <family val="2"/>
          </rPr>
          <t>Custom combining plus hauling to elevator.</t>
        </r>
      </text>
    </comment>
    <comment ref="A28" authorId="0">
      <text>
        <r>
          <rPr>
            <b/>
            <sz val="8"/>
            <color indexed="81"/>
            <rFont val="Tahoma"/>
            <family val="2"/>
          </rPr>
          <t>Use the "other" rows to enter additional custom operations.</t>
        </r>
      </text>
    </comment>
    <comment ref="A32" authorId="0">
      <text>
        <r>
          <rPr>
            <b/>
            <sz val="8"/>
            <color indexed="81"/>
            <rFont val="Tahoma"/>
            <family val="2"/>
          </rPr>
          <t>Enter hourly labor rate and then hours of hired operator labor necessary per acre.</t>
        </r>
      </text>
    </comment>
    <comment ref="D32" authorId="0">
      <text>
        <r>
          <rPr>
            <b/>
            <sz val="8"/>
            <color indexed="81"/>
            <rFont val="Tahoma"/>
            <family val="2"/>
          </rPr>
          <t>This number can be changed in the Universal Input Prices Sheet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expected diesel fuel price and then quantity of fuel required per acre for the operations performed with owned equipment.</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pickup fuel price and an estimate of the gallons of pickup fuel that will be used per acre.</t>
        </r>
      </text>
    </comment>
    <comment ref="D35" authorId="0">
      <text>
        <r>
          <rPr>
            <b/>
            <sz val="8"/>
            <color indexed="81"/>
            <rFont val="Tahoma"/>
            <family val="2"/>
          </rPr>
          <t>This number can be changed in the Universal Input Prices Sheet</t>
        </r>
      </text>
    </comment>
    <comment ref="A36" authorId="0">
      <text>
        <r>
          <rPr>
            <b/>
            <sz val="8"/>
            <color indexed="81"/>
            <rFont val="Tahoma"/>
            <family val="2"/>
          </rPr>
          <t>Enter estimated fuel costs per ac-in of water applied and then enter expected amount of water to be applied in ac-in.</t>
        </r>
      </text>
    </comment>
    <comment ref="D36" authorId="0">
      <text>
        <r>
          <rPr>
            <b/>
            <sz val="8"/>
            <color indexed="81"/>
            <rFont val="Tahoma"/>
            <family val="2"/>
          </rPr>
          <t>This number can be changed in the Universal Input Prices Sheet</t>
        </r>
      </text>
    </comment>
    <comment ref="A37" authorId="1">
      <text>
        <r>
          <rPr>
            <b/>
            <sz val="9"/>
            <color indexed="81"/>
            <rFont val="Tahoma"/>
            <family val="2"/>
          </rPr>
          <t>Enter the number of 24 hour days to pump the amount of water indicated in Irrigation Fuel.</t>
        </r>
      </text>
    </comment>
    <comment ref="A39" authorId="0">
      <text>
        <r>
          <rPr>
            <b/>
            <sz val="8"/>
            <color indexed="81"/>
            <rFont val="Tahoma"/>
            <family val="2"/>
          </rPr>
          <t>Enter your per acre estimate of repairs and maintenance that will be required to maintain implements, tractors and pickups.</t>
        </r>
      </text>
    </comment>
    <comment ref="B45" authorId="0">
      <text>
        <r>
          <rPr>
            <b/>
            <sz val="8"/>
            <color indexed="81"/>
            <rFont val="Tahoma"/>
            <family val="2"/>
          </rPr>
          <t>This number can be changed in the Universal Input Prices Sheet</t>
        </r>
      </text>
    </comment>
    <comment ref="F45" authorId="0">
      <text>
        <r>
          <rPr>
            <b/>
            <sz val="8"/>
            <color indexed="81"/>
            <rFont val="Tahoma"/>
            <family val="2"/>
          </rPr>
          <t>Calculation assumes that an amount 1/2 of the above pre-harvest direct expenses will be borrowed for 1 year.</t>
        </r>
      </text>
    </comment>
    <comment ref="G45" authorId="0">
      <text>
        <r>
          <rPr>
            <b/>
            <sz val="8"/>
            <color indexed="81"/>
            <rFont val="Tahoma"/>
            <family val="2"/>
          </rPr>
          <t>Calculation assumes that an amount 1/2 of the above pre-harvest direct expenses will be borrowed for 1 year.</t>
        </r>
      </text>
    </comment>
    <comment ref="H45" authorId="0">
      <text>
        <r>
          <rPr>
            <b/>
            <sz val="8"/>
            <color indexed="81"/>
            <rFont val="Tahoma"/>
            <family val="2"/>
          </rPr>
          <t>Calculation assumes that an amount 1/2 of the above pre-harvest direct expenses will be borrowed for 1 year.</t>
        </r>
      </text>
    </comment>
    <comment ref="A56"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8"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4.xml><?xml version="1.0" encoding="utf-8"?>
<comments xmlns="http://schemas.openxmlformats.org/spreadsheetml/2006/main">
  <authors>
    <author>jgsmith</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D18" authorId="0">
      <text>
        <r>
          <rPr>
            <b/>
            <sz val="8"/>
            <color indexed="81"/>
            <rFont val="Tahoma"/>
            <family val="2"/>
          </rPr>
          <t>This number can be changed in the Universal Input Prices Sheet</t>
        </r>
      </text>
    </comment>
    <comment ref="B19" authorId="0">
      <text>
        <r>
          <rPr>
            <b/>
            <sz val="8"/>
            <color indexed="81"/>
            <rFont val="Tahoma"/>
            <family val="2"/>
          </rPr>
          <t>Enter lbs per acre of P applied.  Enter zero if you do not apply fertilizer.</t>
        </r>
        <r>
          <rPr>
            <sz val="8"/>
            <color indexed="81"/>
            <rFont val="Tahoma"/>
            <family val="2"/>
          </rPr>
          <t xml:space="preserve">
</t>
        </r>
      </text>
    </comment>
    <comment ref="D19" authorId="0">
      <text>
        <r>
          <rPr>
            <b/>
            <sz val="8"/>
            <color indexed="81"/>
            <rFont val="Tahoma"/>
            <family val="2"/>
          </rPr>
          <t>This number can be changed in the Universal Input Prices Sheet</t>
        </r>
      </text>
    </comment>
    <comment ref="B20" authorId="0">
      <text>
        <r>
          <rPr>
            <b/>
            <sz val="8"/>
            <color indexed="81"/>
            <rFont val="Tahoma"/>
            <family val="2"/>
          </rPr>
          <t xml:space="preserve">Enter lbs per acre of N applied.  Enter zero if you do not apply fertilizer.
</t>
        </r>
      </text>
    </comment>
    <comment ref="D20" authorId="0">
      <text>
        <r>
          <rPr>
            <b/>
            <sz val="8"/>
            <color indexed="81"/>
            <rFont val="Tahoma"/>
            <family val="2"/>
          </rPr>
          <t>This number can be changed in the Universal Input Prices Sheet</t>
        </r>
      </text>
    </comment>
    <comment ref="A22"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5" authorId="0">
      <text>
        <r>
          <rPr>
            <b/>
            <sz val="8"/>
            <color indexed="81"/>
            <rFont val="Tahoma"/>
            <family val="2"/>
          </rPr>
          <t>Not entered here. Automatically entered from above.</t>
        </r>
      </text>
    </comment>
    <comment ref="D25" authorId="0">
      <text>
        <r>
          <rPr>
            <b/>
            <sz val="8"/>
            <color indexed="81"/>
            <rFont val="Tahoma"/>
            <family val="2"/>
          </rPr>
          <t>Custom rate is entered as dollars per ton.  This is for cutting and hauling only.</t>
        </r>
      </text>
    </comment>
    <comment ref="A28" authorId="0">
      <text>
        <r>
          <rPr>
            <b/>
            <sz val="8"/>
            <color indexed="81"/>
            <rFont val="Tahoma"/>
            <family val="2"/>
          </rPr>
          <t>Use the "other" rows to enter additional custom operations.</t>
        </r>
      </text>
    </comment>
    <comment ref="A32" authorId="0">
      <text>
        <r>
          <rPr>
            <b/>
            <sz val="8"/>
            <color indexed="81"/>
            <rFont val="Tahoma"/>
            <family val="2"/>
          </rPr>
          <t>Enter hourly labor rate and then hours of hired operator labor necessary per acre.</t>
        </r>
      </text>
    </comment>
    <comment ref="D32" authorId="0">
      <text>
        <r>
          <rPr>
            <b/>
            <sz val="8"/>
            <color indexed="81"/>
            <rFont val="Tahoma"/>
            <family val="2"/>
          </rPr>
          <t>This number can be changed in the Universal Input Prices Sheet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expected diesel fuel price and then quantity of fuel required per acre for the operations performed with owned equipment.</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pickup fuel price and an estimate of the gallons of pickup fuel that will be used per acre.</t>
        </r>
      </text>
    </comment>
    <comment ref="D35" authorId="0">
      <text>
        <r>
          <rPr>
            <b/>
            <sz val="8"/>
            <color indexed="81"/>
            <rFont val="Tahoma"/>
            <family val="2"/>
          </rPr>
          <t>This number can be changed in the Universal Input Prices Sheet</t>
        </r>
      </text>
    </comment>
    <comment ref="A36" authorId="0">
      <text>
        <r>
          <rPr>
            <b/>
            <sz val="8"/>
            <color indexed="81"/>
            <rFont val="Tahoma"/>
            <family val="2"/>
          </rPr>
          <t>Enter estimated fuel costs per ac-in of water applied and then enter expected amount of water to be applied in ac-in.</t>
        </r>
      </text>
    </comment>
    <comment ref="D36" authorId="0">
      <text>
        <r>
          <rPr>
            <b/>
            <sz val="8"/>
            <color indexed="81"/>
            <rFont val="Tahoma"/>
            <family val="2"/>
          </rPr>
          <t>This number can be changed in the Universal Input Prices Sheet</t>
        </r>
      </text>
    </comment>
    <comment ref="A37" authorId="1">
      <text>
        <r>
          <rPr>
            <b/>
            <sz val="9"/>
            <color indexed="81"/>
            <rFont val="Tahoma"/>
            <family val="2"/>
          </rPr>
          <t>Enter the number of 24 hour days to pump the amount of water indicated in Irrigation Fuel.</t>
        </r>
      </text>
    </comment>
    <comment ref="A39" authorId="0">
      <text>
        <r>
          <rPr>
            <b/>
            <sz val="8"/>
            <color indexed="81"/>
            <rFont val="Tahoma"/>
            <family val="2"/>
          </rPr>
          <t>Enter your per acre estimate of repairs and maintenance that will be required to maintain implements, tractors and pickups.</t>
        </r>
      </text>
    </comment>
    <comment ref="B45" authorId="0">
      <text>
        <r>
          <rPr>
            <b/>
            <sz val="8"/>
            <color indexed="81"/>
            <rFont val="Tahoma"/>
            <family val="2"/>
          </rPr>
          <t>This number can be changed in the Universal Input Prices Sheet</t>
        </r>
      </text>
    </comment>
    <comment ref="F45" authorId="0">
      <text>
        <r>
          <rPr>
            <b/>
            <sz val="8"/>
            <color indexed="81"/>
            <rFont val="Tahoma"/>
            <family val="2"/>
          </rPr>
          <t>Calculation assumes that an amount 1/2 of the above pre-harvest direct expenses will be borrowed for 1 year.</t>
        </r>
      </text>
    </comment>
    <comment ref="G45" authorId="0">
      <text>
        <r>
          <rPr>
            <b/>
            <sz val="8"/>
            <color indexed="81"/>
            <rFont val="Tahoma"/>
            <family val="2"/>
          </rPr>
          <t>Calculation assumes that an amount 1/2 of the above pre-harvest direct expenses will be borrowed for 1 year.</t>
        </r>
      </text>
    </comment>
    <comment ref="H45" authorId="0">
      <text>
        <r>
          <rPr>
            <b/>
            <sz val="8"/>
            <color indexed="81"/>
            <rFont val="Tahoma"/>
            <family val="2"/>
          </rPr>
          <t>Calculation assumes that an amount 1/2 of the above pre-harvest direct expenses will be borrowed for 1 year.</t>
        </r>
      </text>
    </comment>
    <comment ref="A56"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8"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5.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Program calculates tons of seed using the seed turnout entered on the Universal Input sheet.</t>
        </r>
      </text>
    </comment>
    <comment ref="D10" authorId="0">
      <text>
        <r>
          <rPr>
            <b/>
            <sz val="8"/>
            <color indexed="81"/>
            <rFont val="Tahoma"/>
            <family val="2"/>
          </rPr>
          <t>This number can be changed in the Universal Input Prices Sheet</t>
        </r>
      </text>
    </comment>
    <comment ref="B11" authorId="0">
      <text>
        <r>
          <rPr>
            <b/>
            <sz val="8"/>
            <color indexed="81"/>
            <rFont val="Tahoma"/>
            <family val="2"/>
          </rPr>
          <t>Enter turnout rate (lint as a percentage of total seed cotton) as in .25 for 25% turnout.  This will be used to estimate total seed cotton based on projected yield.  Ginning costs are then estimated based on the Seed Cotton per acre.</t>
        </r>
      </text>
    </comment>
    <comment ref="B12" authorId="0">
      <text>
        <r>
          <rPr>
            <b/>
            <sz val="8"/>
            <color indexed="81"/>
            <rFont val="Tahoma"/>
            <family val="2"/>
          </rPr>
          <t>Enter dollars of other income per ground acre.</t>
        </r>
      </text>
    </comment>
    <comment ref="B17" authorId="0">
      <text>
        <r>
          <rPr>
            <b/>
            <sz val="8"/>
            <color indexed="81"/>
            <rFont val="Tahoma"/>
            <family val="2"/>
          </rPr>
          <t>Enter the percentage of a bag required to plant an acre of cotton. Ex: if 1 bag plants 5 acres, enter 0.20</t>
        </r>
      </text>
    </comment>
    <comment ref="D17" authorId="0">
      <text>
        <r>
          <rPr>
            <b/>
            <sz val="8"/>
            <color indexed="81"/>
            <rFont val="Tahoma"/>
            <family val="2"/>
          </rPr>
          <t>Enter expected cost per bag of seed you plan to plant, and any associated tech fees.</t>
        </r>
      </text>
    </comment>
    <comment ref="D18" authorId="0">
      <text>
        <r>
          <rPr>
            <b/>
            <sz val="8"/>
            <color indexed="81"/>
            <rFont val="Tahoma"/>
            <family val="2"/>
          </rPr>
          <t xml:space="preserve">Enter the specific boll weevil assessment per acre for your area.
</t>
        </r>
      </text>
    </comment>
    <comment ref="B20" authorId="0">
      <text>
        <r>
          <rPr>
            <b/>
            <sz val="8"/>
            <color indexed="81"/>
            <rFont val="Tahoma"/>
            <family val="2"/>
          </rPr>
          <t>Enter lbs per acre of P applied.  Enter zero if you do not apply fertilizer.</t>
        </r>
      </text>
    </comment>
    <comment ref="D20" authorId="0">
      <text>
        <r>
          <rPr>
            <b/>
            <sz val="8"/>
            <color indexed="81"/>
            <rFont val="Tahoma"/>
            <family val="2"/>
          </rPr>
          <t>This number can be changed in the Universal Input Prices Sheet</t>
        </r>
      </text>
    </comment>
    <comment ref="B21" authorId="0">
      <text>
        <r>
          <rPr>
            <b/>
            <sz val="8"/>
            <color indexed="81"/>
            <rFont val="Tahoma"/>
            <family val="2"/>
          </rPr>
          <t xml:space="preserve">Enter lbs per acre of N applied.  Enter zero if you do not apply fertilizer.
</t>
        </r>
      </text>
    </comment>
    <comment ref="D21" authorId="0">
      <text>
        <r>
          <rPr>
            <b/>
            <sz val="8"/>
            <color indexed="81"/>
            <rFont val="Tahoma"/>
            <family val="2"/>
          </rPr>
          <t>This number can be changed in the Universal Input Prices Sheet</t>
        </r>
      </text>
    </comment>
    <comment ref="D22" authorId="0">
      <text>
        <r>
          <rPr>
            <b/>
            <sz val="8"/>
            <color indexed="81"/>
            <rFont val="Tahoma"/>
            <family val="2"/>
          </rPr>
          <t>This number can be changed in the Universal Input Prices Sheet</t>
        </r>
      </text>
    </comment>
    <comment ref="A24" authorId="1">
      <text>
        <r>
          <rPr>
            <b/>
            <sz val="8"/>
            <color indexed="81"/>
            <rFont val="Tahoma"/>
            <family val="2"/>
          </rPr>
          <t>Enter the total cost of preplant herbicide including any custom hired application costs.  If performed with your owned equipment the application costs should be included as part of the totals entered in operator labor, tractor fuel, repair and maintenance and fixed expenses.</t>
        </r>
      </text>
    </comment>
    <comment ref="A25" authorId="2">
      <text>
        <r>
          <rPr>
            <b/>
            <sz val="8"/>
            <color indexed="81"/>
            <rFont val="Tahoma"/>
            <family val="2"/>
          </rPr>
          <t>Enter the total cost of post emergence herbicide including any custom hired application costs.  If performed with your owned equipment the application costs should be included as part of the totals entered in operator labor, tractor fuel, repair and maintenance and fixed expenses.</t>
        </r>
      </text>
    </comment>
    <comment ref="A26"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7"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28" authorId="1">
      <text>
        <r>
          <rPr>
            <b/>
            <sz val="8"/>
            <color indexed="81"/>
            <rFont val="Tahoma"/>
            <family val="2"/>
          </rPr>
          <t>Enter the total cost of harvest aids including any custom hired application costs.  If performed with your owned equipment the application costs should be included as part of the totals entered in operator labor, tractor fuel, repair and maintenance and fixed expenses.</t>
        </r>
      </text>
    </comment>
    <comment ref="B29" authorId="0">
      <text>
        <r>
          <rPr>
            <b/>
            <sz val="8"/>
            <color indexed="81"/>
            <rFont val="Tahoma"/>
            <family val="2"/>
          </rPr>
          <t>Not entered here. Automatically entered from above.</t>
        </r>
      </text>
    </comment>
    <comment ref="D29" authorId="0">
      <text>
        <r>
          <rPr>
            <b/>
            <sz val="8"/>
            <color indexed="81"/>
            <rFont val="Tahoma"/>
            <family val="2"/>
          </rPr>
          <t>This number can be changed in the Universal Input Prices Sheet</t>
        </r>
      </text>
    </comment>
    <comment ref="B30" authorId="0">
      <text>
        <r>
          <rPr>
            <b/>
            <sz val="8"/>
            <color indexed="81"/>
            <rFont val="Tahoma"/>
            <family val="2"/>
          </rPr>
          <t xml:space="preserve">Total cwts of seed cotton calculated from projected yield and turnout. </t>
        </r>
      </text>
    </comment>
    <comment ref="D30" authorId="0">
      <text>
        <r>
          <rPr>
            <b/>
            <sz val="8"/>
            <color indexed="81"/>
            <rFont val="Tahoma"/>
            <family val="2"/>
          </rPr>
          <t>This number can be changed in the Universal Input Prices Sheet</t>
        </r>
      </text>
    </comment>
    <comment ref="A33" authorId="0">
      <text>
        <r>
          <rPr>
            <b/>
            <sz val="8"/>
            <color indexed="81"/>
            <rFont val="Tahoma"/>
            <family val="2"/>
          </rPr>
          <t>Use the "other" rows to enter additional custom operations.</t>
        </r>
      </text>
    </comment>
    <comment ref="A37" authorId="0">
      <text>
        <r>
          <rPr>
            <b/>
            <sz val="8"/>
            <color indexed="81"/>
            <rFont val="Tahoma"/>
            <family val="2"/>
          </rPr>
          <t>Enter hourly labor rate and then hours of hired operator labor necessary per acre.</t>
        </r>
      </text>
    </comment>
    <comment ref="D37" authorId="0">
      <text>
        <r>
          <rPr>
            <b/>
            <sz val="8"/>
            <color indexed="81"/>
            <rFont val="Tahoma"/>
            <family val="2"/>
          </rPr>
          <t>This number can be changed in the Universal Input Prices Sheet</t>
        </r>
      </text>
    </comment>
    <comment ref="D38" authorId="0">
      <text>
        <r>
          <rPr>
            <b/>
            <sz val="8"/>
            <color indexed="81"/>
            <rFont val="Tahoma"/>
            <family val="2"/>
          </rPr>
          <t>This number can be changed in the Universal Input Prices Sheet</t>
        </r>
      </text>
    </comment>
    <comment ref="A39" authorId="0">
      <text>
        <r>
          <rPr>
            <b/>
            <sz val="8"/>
            <color indexed="81"/>
            <rFont val="Tahoma"/>
            <family val="2"/>
          </rPr>
          <t>Enter expected diesel fuel price and then quantity of fuel required per acre for the operations performed with owned equipment.</t>
        </r>
      </text>
    </comment>
    <comment ref="D39" authorId="0">
      <text>
        <r>
          <rPr>
            <b/>
            <sz val="8"/>
            <color indexed="81"/>
            <rFont val="Tahoma"/>
            <family val="2"/>
          </rPr>
          <t>This number can be changed in the Universal Input Prices Sheet</t>
        </r>
      </text>
    </comment>
    <comment ref="A40" authorId="0">
      <text>
        <r>
          <rPr>
            <b/>
            <sz val="8"/>
            <color indexed="81"/>
            <rFont val="Tahoma"/>
            <family val="2"/>
          </rPr>
          <t>Enter pickup fuel price and an estimate of the gallons of pickup fuel that will be used per acre.</t>
        </r>
      </text>
    </comment>
    <comment ref="D40" authorId="0">
      <text>
        <r>
          <rPr>
            <b/>
            <sz val="8"/>
            <color indexed="81"/>
            <rFont val="Tahoma"/>
            <family val="2"/>
          </rPr>
          <t>This number can be changed in the Universal Input Prices Sheet</t>
        </r>
      </text>
    </comment>
    <comment ref="A41" authorId="0">
      <text>
        <r>
          <rPr>
            <b/>
            <sz val="8"/>
            <color indexed="81"/>
            <rFont val="Tahoma"/>
            <family val="2"/>
          </rPr>
          <t>Enter estimated fuel costs per ac-in of water applied and then enter expected amount of water to be applied in ac-in.</t>
        </r>
      </text>
    </comment>
    <comment ref="D41" authorId="0">
      <text>
        <r>
          <rPr>
            <b/>
            <sz val="8"/>
            <color indexed="81"/>
            <rFont val="Tahoma"/>
            <family val="2"/>
          </rPr>
          <t>This number can be changed in the Universal Input Prices Sheet</t>
        </r>
      </text>
    </comment>
    <comment ref="A42" authorId="1">
      <text>
        <r>
          <rPr>
            <b/>
            <sz val="9"/>
            <color indexed="81"/>
            <rFont val="Tahoma"/>
            <family val="2"/>
          </rPr>
          <t>Enter the number of 24 hour days to pump the amount of water indicated in Irrigation Fuel.</t>
        </r>
      </text>
    </comment>
    <comment ref="A44" authorId="0">
      <text>
        <r>
          <rPr>
            <b/>
            <sz val="8"/>
            <color indexed="81"/>
            <rFont val="Tahoma"/>
            <family val="2"/>
          </rPr>
          <t>Enter your per acre estimate of repairs and maintenance that will be required to maintain implements, tractors and pickups.</t>
        </r>
      </text>
    </comment>
    <comment ref="B50" authorId="0">
      <text>
        <r>
          <rPr>
            <b/>
            <sz val="8"/>
            <color indexed="81"/>
            <rFont val="Tahoma"/>
            <family val="2"/>
          </rPr>
          <t>This number can be changed in the Universal Input Prices Sheet</t>
        </r>
      </text>
    </comment>
    <comment ref="F50" authorId="0">
      <text>
        <r>
          <rPr>
            <b/>
            <sz val="8"/>
            <color indexed="81"/>
            <rFont val="Tahoma"/>
            <family val="2"/>
          </rPr>
          <t>Calculation assumes that an amount 1/2 of the above pre-harvest direct expenses will be borrowed for 1 year.</t>
        </r>
      </text>
    </comment>
    <comment ref="G50" authorId="0">
      <text>
        <r>
          <rPr>
            <b/>
            <sz val="8"/>
            <color indexed="81"/>
            <rFont val="Tahoma"/>
            <family val="2"/>
          </rPr>
          <t>Calculation assumes that an amount 1/2 of the above pre-harvest direct expenses will be borrowed for 1 year.</t>
        </r>
      </text>
    </comment>
    <comment ref="H50" authorId="0">
      <text>
        <r>
          <rPr>
            <b/>
            <sz val="8"/>
            <color indexed="81"/>
            <rFont val="Tahoma"/>
            <family val="2"/>
          </rPr>
          <t>Calculation assumes that an amount 1/2 of the above pre-harvest direct expenses will be borrowed for 1 year.</t>
        </r>
      </text>
    </comment>
    <comment ref="A61"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63"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6.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B19" authorId="0">
      <text>
        <r>
          <rPr>
            <b/>
            <sz val="8"/>
            <color indexed="81"/>
            <rFont val="Tahoma"/>
            <family val="2"/>
          </rPr>
          <t>Enter lbs per acre of P applied.  Enter zero if you do not apply fertilizer.</t>
        </r>
      </text>
    </comment>
    <comment ref="D19" authorId="0">
      <text>
        <r>
          <rPr>
            <b/>
            <sz val="8"/>
            <color indexed="81"/>
            <rFont val="Tahoma"/>
            <family val="2"/>
          </rPr>
          <t>This number can be changed in the Universal Input Prices Sheet</t>
        </r>
      </text>
    </comment>
    <comment ref="B20" authorId="0">
      <text>
        <r>
          <rPr>
            <b/>
            <sz val="8"/>
            <color indexed="81"/>
            <rFont val="Tahoma"/>
            <family val="2"/>
          </rPr>
          <t xml:space="preserve">Enter lbs per acre of N applied.  Enter zero if you do not apply fertilizer.
</t>
        </r>
      </text>
    </comment>
    <comment ref="D20" authorId="0">
      <text>
        <r>
          <rPr>
            <b/>
            <sz val="8"/>
            <color indexed="81"/>
            <rFont val="Tahoma"/>
            <family val="2"/>
          </rPr>
          <t>This number can be changed in the Universal Input Prices Sheet</t>
        </r>
      </text>
    </comment>
    <comment ref="D21" authorId="0">
      <text>
        <r>
          <rPr>
            <b/>
            <sz val="8"/>
            <color indexed="81"/>
            <rFont val="Tahoma"/>
            <family val="2"/>
          </rPr>
          <t>This number can be changed in the Universal Input Prices Sheet</t>
        </r>
      </text>
    </comment>
    <comment ref="A23"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4"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5" authorId="1">
      <text>
        <r>
          <rPr>
            <b/>
            <sz val="8"/>
            <color indexed="81"/>
            <rFont val="Tahoma"/>
            <family val="2"/>
          </rPr>
          <t>Enter the total cost of fungicide including any custom hired application costs.  If performed with your owned equipment the application costs should be included as part of the totals entered in operator labor, tractor fuel, repair and maintenance and fixed expenses.</t>
        </r>
      </text>
    </comment>
    <comment ref="B27" authorId="0">
      <text>
        <r>
          <rPr>
            <b/>
            <sz val="8"/>
            <color indexed="81"/>
            <rFont val="Tahoma"/>
            <family val="2"/>
          </rPr>
          <t>Not entered here. Automatically entered from above.</t>
        </r>
      </text>
    </comment>
    <comment ref="B28" authorId="0">
      <text>
        <r>
          <rPr>
            <b/>
            <sz val="8"/>
            <color indexed="81"/>
            <rFont val="Tahoma"/>
            <family val="2"/>
          </rPr>
          <t>Not entered here. Automatically entered from above.</t>
        </r>
      </text>
    </comment>
    <comment ref="A29" authorId="2">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A32" authorId="0">
      <text>
        <r>
          <rPr>
            <b/>
            <sz val="8"/>
            <color indexed="81"/>
            <rFont val="Tahoma"/>
            <family val="2"/>
          </rPr>
          <t>Use the "other" rows to enter additional custom operations.</t>
        </r>
      </text>
    </comment>
    <comment ref="A36" authorId="0">
      <text>
        <r>
          <rPr>
            <b/>
            <sz val="8"/>
            <color indexed="81"/>
            <rFont val="Tahoma"/>
            <family val="2"/>
          </rPr>
          <t xml:space="preserve">Enter hourly labor rate and then hours of hired operator labor necessary per acre.
</t>
        </r>
      </text>
    </comment>
    <comment ref="D36" authorId="0">
      <text>
        <r>
          <rPr>
            <b/>
            <sz val="8"/>
            <color indexed="81"/>
            <rFont val="Tahoma"/>
            <family val="2"/>
          </rPr>
          <t>This number can be changed in the Universal Input Prices Sheet</t>
        </r>
      </text>
    </comment>
    <comment ref="D37" authorId="0">
      <text>
        <r>
          <rPr>
            <b/>
            <sz val="8"/>
            <color indexed="81"/>
            <rFont val="Tahoma"/>
            <family val="2"/>
          </rPr>
          <t>This number can be changed in the Universal Input Prices Sheet</t>
        </r>
      </text>
    </comment>
    <comment ref="A38" authorId="0">
      <text>
        <r>
          <rPr>
            <b/>
            <sz val="8"/>
            <color indexed="81"/>
            <rFont val="Tahoma"/>
            <family val="2"/>
          </rPr>
          <t>Enter expected diesel fuel price and then quantity of fuel required per acre for the operations performed with owned equipment.</t>
        </r>
      </text>
    </comment>
    <comment ref="D38" authorId="0">
      <text>
        <r>
          <rPr>
            <b/>
            <sz val="8"/>
            <color indexed="81"/>
            <rFont val="Tahoma"/>
            <family val="2"/>
          </rPr>
          <t>This number can be changed in the Universal Input Prices Sheet</t>
        </r>
      </text>
    </comment>
    <comment ref="A39" authorId="0">
      <text>
        <r>
          <rPr>
            <b/>
            <sz val="8"/>
            <color indexed="81"/>
            <rFont val="Tahoma"/>
            <family val="2"/>
          </rPr>
          <t>Enter pickup fuel price and an estimate of the gallons of pickup fuel that will be used per acre.</t>
        </r>
      </text>
    </comment>
    <comment ref="D39" authorId="0">
      <text>
        <r>
          <rPr>
            <b/>
            <sz val="8"/>
            <color indexed="81"/>
            <rFont val="Tahoma"/>
            <family val="2"/>
          </rPr>
          <t>This number can be changed in the Universal Input Prices Sheet</t>
        </r>
      </text>
    </comment>
    <comment ref="A40" authorId="0">
      <text>
        <r>
          <rPr>
            <b/>
            <sz val="8"/>
            <color indexed="81"/>
            <rFont val="Tahoma"/>
            <family val="2"/>
          </rPr>
          <t>Enter estimated fuel costs per ac-in of water applied and then enter expected amount of water to be applied in ac-in.</t>
        </r>
      </text>
    </comment>
    <comment ref="D40" authorId="0">
      <text>
        <r>
          <rPr>
            <b/>
            <sz val="8"/>
            <color indexed="81"/>
            <rFont val="Tahoma"/>
            <family val="2"/>
          </rPr>
          <t>This number can be changed in the Universal Input Prices Sheet</t>
        </r>
      </text>
    </comment>
    <comment ref="A41" authorId="1">
      <text>
        <r>
          <rPr>
            <b/>
            <sz val="9"/>
            <color indexed="81"/>
            <rFont val="Tahoma"/>
            <family val="2"/>
          </rPr>
          <t>Enter the number of 24 hour days to pump the amount of water indicated in Irrigation Fuel.</t>
        </r>
      </text>
    </comment>
    <comment ref="A43" authorId="0">
      <text>
        <r>
          <rPr>
            <b/>
            <sz val="8"/>
            <color indexed="81"/>
            <rFont val="Tahoma"/>
            <family val="2"/>
          </rPr>
          <t>Enter your per acre estimate of repairs and maintenance that will be required to maintain implements, tractors and pickups.</t>
        </r>
      </text>
    </comment>
    <comment ref="B49" authorId="0">
      <text>
        <r>
          <rPr>
            <b/>
            <sz val="8"/>
            <color indexed="81"/>
            <rFont val="Tahoma"/>
            <family val="2"/>
          </rPr>
          <t>This number can be changed in the Universal Input Prices Sheet</t>
        </r>
      </text>
    </comment>
    <comment ref="F49" authorId="0">
      <text>
        <r>
          <rPr>
            <b/>
            <sz val="8"/>
            <color indexed="81"/>
            <rFont val="Tahoma"/>
            <family val="2"/>
          </rPr>
          <t>Calculation assumes that an amount 1/2 of the above pre-harvest direct expenses will be borrowed for 1 year.</t>
        </r>
      </text>
    </comment>
    <comment ref="G49" authorId="0">
      <text>
        <r>
          <rPr>
            <b/>
            <sz val="8"/>
            <color indexed="81"/>
            <rFont val="Tahoma"/>
            <family val="2"/>
          </rPr>
          <t>Calculation assumes that an amount 1/2 of the above pre-harvest direct expenses will be borrowed for 1 year.</t>
        </r>
      </text>
    </comment>
    <comment ref="H49" authorId="0">
      <text>
        <r>
          <rPr>
            <b/>
            <sz val="8"/>
            <color indexed="81"/>
            <rFont val="Tahoma"/>
            <family val="2"/>
          </rPr>
          <t>Calculation assumes that an amount 1/2 of the above pre-harvest direct expenses will be borrowed for 1 year.</t>
        </r>
      </text>
    </comment>
    <comment ref="A60"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62"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7.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D17" authorId="0">
      <text>
        <r>
          <rPr>
            <b/>
            <sz val="8"/>
            <color indexed="81"/>
            <rFont val="Tahoma"/>
            <family val="2"/>
          </rPr>
          <t>This number can be changed in the Universal Input Prices Sheet</t>
        </r>
      </text>
    </comment>
    <comment ref="B18" authorId="0">
      <text>
        <r>
          <rPr>
            <b/>
            <sz val="8"/>
            <color indexed="81"/>
            <rFont val="Tahoma"/>
            <family val="2"/>
          </rPr>
          <t>Enter lbs per acre of P applied.  Enter zero if you do not apply fertilizer.</t>
        </r>
      </text>
    </comment>
    <comment ref="D18" authorId="0">
      <text>
        <r>
          <rPr>
            <b/>
            <sz val="8"/>
            <color indexed="81"/>
            <rFont val="Tahoma"/>
            <family val="2"/>
          </rPr>
          <t>This number can be changed in the Universal Input Prices Sheet</t>
        </r>
      </text>
    </comment>
    <comment ref="B19" authorId="0">
      <text>
        <r>
          <rPr>
            <b/>
            <sz val="8"/>
            <color indexed="81"/>
            <rFont val="Tahoma"/>
            <family val="2"/>
          </rPr>
          <t xml:space="preserve">Enter lbs per acre of N applied.  Enter zero if you do not apply fertilizer.
</t>
        </r>
      </text>
    </comment>
    <comment ref="D19" authorId="0">
      <text>
        <r>
          <rPr>
            <b/>
            <sz val="8"/>
            <color indexed="81"/>
            <rFont val="Tahoma"/>
            <family val="2"/>
          </rPr>
          <t>This number can be changed in the Universal Input Prices Sheet</t>
        </r>
      </text>
    </comment>
    <comment ref="A21"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4" authorId="2">
      <text>
        <r>
          <rPr>
            <b/>
            <sz val="8"/>
            <color indexed="81"/>
            <rFont val="Tahoma"/>
            <family val="2"/>
          </rPr>
          <t>Not entered here. Automatically entered from above.</t>
        </r>
      </text>
    </comment>
    <comment ref="A27" authorId="0">
      <text>
        <r>
          <rPr>
            <b/>
            <sz val="8"/>
            <color indexed="81"/>
            <rFont val="Tahoma"/>
            <family val="2"/>
          </rPr>
          <t>Use the "other" rows to enter additional custom operations.</t>
        </r>
      </text>
    </comment>
    <comment ref="A31" authorId="0">
      <text>
        <r>
          <rPr>
            <b/>
            <sz val="8"/>
            <color indexed="81"/>
            <rFont val="Tahoma"/>
            <family val="2"/>
          </rPr>
          <t xml:space="preserve">Enter hourly labor rate and then hours of hired operator labor necessary per acre.
</t>
        </r>
      </text>
    </comment>
    <comment ref="D31" authorId="0">
      <text>
        <r>
          <rPr>
            <b/>
            <sz val="8"/>
            <color indexed="81"/>
            <rFont val="Tahoma"/>
            <family val="2"/>
          </rPr>
          <t>This number can be changed in the Universal Input Prices Sheet</t>
        </r>
      </text>
    </comment>
    <comment ref="D32" authorId="0">
      <text>
        <r>
          <rPr>
            <b/>
            <sz val="8"/>
            <color indexed="81"/>
            <rFont val="Tahoma"/>
            <family val="2"/>
          </rPr>
          <t>This number can be changed in the Universal Input Prices Sheet</t>
        </r>
      </text>
    </comment>
    <comment ref="A33" authorId="0">
      <text>
        <r>
          <rPr>
            <b/>
            <sz val="8"/>
            <color indexed="81"/>
            <rFont val="Tahoma"/>
            <family val="2"/>
          </rPr>
          <t>Enter expected diesel fuel price and then quantity of fuel required per acre for the operations performed with owned equipment.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pickup fuel price and an estimate of the gallons of pickup fuel that will be used per acre.</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estimated fuel costs per ac-in of water applied and then enter expected amount of water to be applied in ac-in.</t>
        </r>
      </text>
    </comment>
    <comment ref="D35" authorId="0">
      <text>
        <r>
          <rPr>
            <b/>
            <sz val="8"/>
            <color indexed="81"/>
            <rFont val="Tahoma"/>
            <family val="2"/>
          </rPr>
          <t>This number can be changed in the Universal Input Prices Sheet</t>
        </r>
      </text>
    </comment>
    <comment ref="A36" authorId="1">
      <text>
        <r>
          <rPr>
            <b/>
            <sz val="9"/>
            <color indexed="81"/>
            <rFont val="Tahoma"/>
            <family val="2"/>
          </rPr>
          <t>Enter the number of 24 hour days to pump the amount of water indicated in Irrigation Fuel.</t>
        </r>
      </text>
    </comment>
    <comment ref="A38" authorId="0">
      <text>
        <r>
          <rPr>
            <b/>
            <sz val="8"/>
            <color indexed="81"/>
            <rFont val="Tahoma"/>
            <family val="2"/>
          </rPr>
          <t>Enter your per acre estimate of repairs and maintenance that will be required to maintain implements, tractors and pickups.</t>
        </r>
      </text>
    </comment>
    <comment ref="B44" authorId="0">
      <text>
        <r>
          <rPr>
            <b/>
            <sz val="8"/>
            <color indexed="81"/>
            <rFont val="Tahoma"/>
            <family val="2"/>
          </rPr>
          <t>This number can be changed in the Universal Input Prices Sheet</t>
        </r>
      </text>
    </comment>
    <comment ref="F44" authorId="0">
      <text>
        <r>
          <rPr>
            <b/>
            <sz val="8"/>
            <color indexed="81"/>
            <rFont val="Tahoma"/>
            <family val="2"/>
          </rPr>
          <t>Calculation assumes that an amount 1/2 of the above pre-harvest direct expenses will be borrowed for 1 year.</t>
        </r>
      </text>
    </comment>
    <comment ref="G44" authorId="0">
      <text>
        <r>
          <rPr>
            <b/>
            <sz val="8"/>
            <color indexed="81"/>
            <rFont val="Tahoma"/>
            <family val="2"/>
          </rPr>
          <t>Calculation assumes that an amount 1/2 of the above pre-harvest direct expenses will be borrowed for 1 year.</t>
        </r>
      </text>
    </comment>
    <comment ref="H44" authorId="0">
      <text>
        <r>
          <rPr>
            <b/>
            <sz val="8"/>
            <color indexed="81"/>
            <rFont val="Tahoma"/>
            <family val="2"/>
          </rPr>
          <t>Calculation assumes that an amount 1/2 of the above pre-harvest direct expenses will be borrowed for 1 year.</t>
        </r>
      </text>
    </comment>
    <comment ref="A55"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7"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8.xml><?xml version="1.0" encoding="utf-8"?>
<comments xmlns="http://schemas.openxmlformats.org/spreadsheetml/2006/main">
  <authors>
    <author>jgsmith</author>
    <author>Jay Yates</author>
    <author xml:space="preserve"> </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D17" authorId="0">
      <text>
        <r>
          <rPr>
            <b/>
            <sz val="8"/>
            <color indexed="81"/>
            <rFont val="Tahoma"/>
            <family val="2"/>
          </rPr>
          <t>This number can be changed in the Universal Input Prices Sheet</t>
        </r>
      </text>
    </comment>
    <comment ref="B18" authorId="0">
      <text>
        <r>
          <rPr>
            <b/>
            <sz val="8"/>
            <color indexed="81"/>
            <rFont val="Tahoma"/>
            <family val="2"/>
          </rPr>
          <t>Enter lbs per acre of P applied.  Enter zero if you do not apply fertilizer.</t>
        </r>
      </text>
    </comment>
    <comment ref="D18" authorId="0">
      <text>
        <r>
          <rPr>
            <b/>
            <sz val="8"/>
            <color indexed="81"/>
            <rFont val="Tahoma"/>
            <family val="2"/>
          </rPr>
          <t>This number can be changed in the Universal Input Prices Sheet</t>
        </r>
      </text>
    </comment>
    <comment ref="B19" authorId="0">
      <text>
        <r>
          <rPr>
            <b/>
            <sz val="8"/>
            <color indexed="81"/>
            <rFont val="Tahoma"/>
            <family val="2"/>
          </rPr>
          <t xml:space="preserve">Enter lbs per acre of N applied.  Enter zero if you do not apply fertilizer.
</t>
        </r>
      </text>
    </comment>
    <comment ref="D19" authorId="0">
      <text>
        <r>
          <rPr>
            <b/>
            <sz val="8"/>
            <color indexed="81"/>
            <rFont val="Tahoma"/>
            <family val="2"/>
          </rPr>
          <t>This number can be changed in the Universal Input Prices Sheet</t>
        </r>
      </text>
    </comment>
    <comment ref="A21"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4" authorId="2">
      <text>
        <r>
          <rPr>
            <b/>
            <sz val="8"/>
            <color indexed="81"/>
            <rFont val="Tahoma"/>
            <family val="2"/>
          </rPr>
          <t>Not entered here. Automatically entered from above.</t>
        </r>
      </text>
    </comment>
    <comment ref="A27" authorId="0">
      <text>
        <r>
          <rPr>
            <b/>
            <sz val="8"/>
            <color indexed="81"/>
            <rFont val="Tahoma"/>
            <family val="2"/>
          </rPr>
          <t>Use the "other" rows to enter additional custom operations.</t>
        </r>
      </text>
    </comment>
    <comment ref="A31" authorId="0">
      <text>
        <r>
          <rPr>
            <b/>
            <sz val="8"/>
            <color indexed="81"/>
            <rFont val="Tahoma"/>
            <family val="2"/>
          </rPr>
          <t xml:space="preserve">Enter hourly labor rate and then hours of hired operator labor necessary per acre.
</t>
        </r>
      </text>
    </comment>
    <comment ref="D31" authorId="0">
      <text>
        <r>
          <rPr>
            <b/>
            <sz val="8"/>
            <color indexed="81"/>
            <rFont val="Tahoma"/>
            <family val="2"/>
          </rPr>
          <t>This number can be changed in the Universal Input Prices Sheet</t>
        </r>
      </text>
    </comment>
    <comment ref="D32" authorId="0">
      <text>
        <r>
          <rPr>
            <b/>
            <sz val="8"/>
            <color indexed="81"/>
            <rFont val="Tahoma"/>
            <family val="2"/>
          </rPr>
          <t>This number can be changed in the Universal Input Prices Sheet</t>
        </r>
      </text>
    </comment>
    <comment ref="A33" authorId="0">
      <text>
        <r>
          <rPr>
            <b/>
            <sz val="8"/>
            <color indexed="81"/>
            <rFont val="Tahoma"/>
            <family val="2"/>
          </rPr>
          <t>Enter expected diesel fuel price and then quantity of fuel required per acre for the operations performed with owned equipment.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pickup fuel price and an estimate of the gallons of pickup fuel that will be used per acre.</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estimated fuel costs per ac-in of water applied and then enter expected amount of water to be applied in ac-in.</t>
        </r>
      </text>
    </comment>
    <comment ref="D35" authorId="0">
      <text>
        <r>
          <rPr>
            <b/>
            <sz val="8"/>
            <color indexed="81"/>
            <rFont val="Tahoma"/>
            <family val="2"/>
          </rPr>
          <t>This number can be changed in the Universal Input Prices Sheet</t>
        </r>
      </text>
    </comment>
    <comment ref="A36" authorId="1">
      <text>
        <r>
          <rPr>
            <b/>
            <sz val="9"/>
            <color indexed="81"/>
            <rFont val="Tahoma"/>
            <family val="2"/>
          </rPr>
          <t>Enter the number of 24 hour days to pump the amount of water indicated in Irrigation Fuel.</t>
        </r>
      </text>
    </comment>
    <comment ref="A38" authorId="0">
      <text>
        <r>
          <rPr>
            <b/>
            <sz val="8"/>
            <color indexed="81"/>
            <rFont val="Tahoma"/>
            <family val="2"/>
          </rPr>
          <t>Enter your per acre estimate of repairs and maintenance that will be required to maintain implements, tractors and pickups.</t>
        </r>
      </text>
    </comment>
    <comment ref="B44" authorId="0">
      <text>
        <r>
          <rPr>
            <b/>
            <sz val="8"/>
            <color indexed="81"/>
            <rFont val="Tahoma"/>
            <family val="2"/>
          </rPr>
          <t>This number can be changed in the Universal Input Prices Sheet</t>
        </r>
      </text>
    </comment>
    <comment ref="F44" authorId="0">
      <text>
        <r>
          <rPr>
            <b/>
            <sz val="8"/>
            <color indexed="81"/>
            <rFont val="Tahoma"/>
            <family val="2"/>
          </rPr>
          <t>Calculation assumes that an amount 1/2 of the above pre-harvest direct expenses will be borrowed for 1 year.</t>
        </r>
      </text>
    </comment>
    <comment ref="G44" authorId="0">
      <text>
        <r>
          <rPr>
            <b/>
            <sz val="8"/>
            <color indexed="81"/>
            <rFont val="Tahoma"/>
            <family val="2"/>
          </rPr>
          <t>Calculation assumes that an amount 1/2 of the above pre-harvest direct expenses will be borrowed for 1 year.</t>
        </r>
      </text>
    </comment>
    <comment ref="H44" authorId="0">
      <text>
        <r>
          <rPr>
            <b/>
            <sz val="8"/>
            <color indexed="81"/>
            <rFont val="Tahoma"/>
            <family val="2"/>
          </rPr>
          <t>Calculation assumes that an amount 1/2 of the above pre-harvest direct expenses will be borrowed for 1 year.</t>
        </r>
      </text>
    </comment>
    <comment ref="A55"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7"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comments9.xml><?xml version="1.0" encoding="utf-8"?>
<comments xmlns="http://schemas.openxmlformats.org/spreadsheetml/2006/main">
  <authors>
    <author>jgsmith</author>
    <author>Jay Yates</author>
  </authors>
  <commentList>
    <comment ref="B9" authorId="0">
      <text>
        <r>
          <rPr>
            <b/>
            <sz val="8"/>
            <color indexed="81"/>
            <rFont val="Tahoma"/>
            <family val="2"/>
          </rPr>
          <t>Enter expected yield per ground acre.</t>
        </r>
      </text>
    </comment>
    <comment ref="D9" authorId="0">
      <text>
        <r>
          <rPr>
            <b/>
            <sz val="8"/>
            <color indexed="81"/>
            <rFont val="Tahoma"/>
            <family val="2"/>
          </rPr>
          <t>This number can be changed in the Universal Input Prices Sheet</t>
        </r>
      </text>
    </comment>
    <comment ref="B10" authorId="0">
      <text>
        <r>
          <rPr>
            <b/>
            <sz val="8"/>
            <color indexed="81"/>
            <rFont val="Tahoma"/>
            <family val="2"/>
          </rPr>
          <t>Enter dollars of other income per ground acre.</t>
        </r>
      </text>
    </comment>
    <comment ref="B17" authorId="0">
      <text>
        <r>
          <rPr>
            <b/>
            <sz val="8"/>
            <color indexed="81"/>
            <rFont val="Tahoma"/>
            <family val="2"/>
          </rPr>
          <t>Enter lbs per acre of P applied.  Enter zero if you do not apply fertilizer.</t>
        </r>
      </text>
    </comment>
    <comment ref="D17" authorId="0">
      <text>
        <r>
          <rPr>
            <b/>
            <sz val="8"/>
            <color indexed="81"/>
            <rFont val="Tahoma"/>
            <family val="2"/>
          </rPr>
          <t>This number can be changed in the Universal Input Prices Sheet</t>
        </r>
      </text>
    </comment>
    <comment ref="B18" authorId="0">
      <text>
        <r>
          <rPr>
            <b/>
            <sz val="8"/>
            <color indexed="81"/>
            <rFont val="Tahoma"/>
            <family val="2"/>
          </rPr>
          <t xml:space="preserve">Enter lbs per acre of N applied.  Enter zero if you do not apply fertilizer.
</t>
        </r>
      </text>
    </comment>
    <comment ref="D18" authorId="0">
      <text>
        <r>
          <rPr>
            <b/>
            <sz val="8"/>
            <color indexed="81"/>
            <rFont val="Tahoma"/>
            <family val="2"/>
          </rPr>
          <t>This number can be changed in the Universal Input Prices Sheet</t>
        </r>
      </text>
    </comment>
    <comment ref="D19" authorId="0">
      <text>
        <r>
          <rPr>
            <b/>
            <sz val="8"/>
            <color indexed="81"/>
            <rFont val="Tahoma"/>
            <family val="2"/>
          </rPr>
          <t>This number can be changed in the Universal Input Prices Sheet</t>
        </r>
      </text>
    </comment>
    <comment ref="A21" authorId="1">
      <text>
        <r>
          <rPr>
            <b/>
            <sz val="8"/>
            <color indexed="81"/>
            <rFont val="Tahoma"/>
            <family val="2"/>
          </rPr>
          <t>Enter the total cost of herbicide including any custom hired application costs.  If performed with your owned equipment the application costs should be included as part of the totals entered in operator labor, tractor fuel, repair and maintenance and fixed expenses.</t>
        </r>
      </text>
    </comment>
    <comment ref="A22" authorId="1">
      <text>
        <r>
          <rPr>
            <b/>
            <sz val="8"/>
            <color indexed="81"/>
            <rFont val="Tahoma"/>
            <family val="2"/>
          </rPr>
          <t>Enter the custom hired fertilizer application costs.  If performed with your owned equipment the application costs should be included as part of the totals entered in operator labor, tractor fuel, repair and maintenance and fixed expenses.</t>
        </r>
      </text>
    </comment>
    <comment ref="A23" authorId="1">
      <text>
        <r>
          <rPr>
            <b/>
            <sz val="8"/>
            <color indexed="81"/>
            <rFont val="Tahoma"/>
            <family val="2"/>
          </rPr>
          <t>Enter the total cost of insecticide including any custom hired application costs.  If performed with your owned equipment the application costs should be included as part of the totals entered in operator labor, tractor fuel, repair and maintenance and fixed expenses.</t>
        </r>
      </text>
    </comment>
    <comment ref="B24" authorId="0">
      <text>
        <r>
          <rPr>
            <b/>
            <sz val="8"/>
            <color indexed="81"/>
            <rFont val="Tahoma"/>
            <family val="2"/>
          </rPr>
          <t>Not entered here. Automatically entered from above.</t>
        </r>
      </text>
    </comment>
    <comment ref="D24" authorId="0">
      <text>
        <r>
          <rPr>
            <b/>
            <sz val="8"/>
            <color indexed="81"/>
            <rFont val="Tahoma"/>
            <family val="2"/>
          </rPr>
          <t>Custom rate is entered as dollars per ton.  This is for cutting and hauling only.</t>
        </r>
      </text>
    </comment>
    <comment ref="A27" authorId="0">
      <text>
        <r>
          <rPr>
            <b/>
            <sz val="8"/>
            <color indexed="81"/>
            <rFont val="Tahoma"/>
            <family val="2"/>
          </rPr>
          <t>Use the "other" rows to enter additional custom operations.</t>
        </r>
      </text>
    </comment>
    <comment ref="A31" authorId="0">
      <text>
        <r>
          <rPr>
            <b/>
            <sz val="8"/>
            <color indexed="81"/>
            <rFont val="Tahoma"/>
            <family val="2"/>
          </rPr>
          <t xml:space="preserve">Enter hourly labor rate and then hours of hired operator labor necessary per acre.
</t>
        </r>
      </text>
    </comment>
    <comment ref="D31" authorId="0">
      <text>
        <r>
          <rPr>
            <b/>
            <sz val="8"/>
            <color indexed="81"/>
            <rFont val="Tahoma"/>
            <family val="2"/>
          </rPr>
          <t>This number can be changed in the Universal Input Prices Sheet</t>
        </r>
      </text>
    </comment>
    <comment ref="D32" authorId="0">
      <text>
        <r>
          <rPr>
            <b/>
            <sz val="8"/>
            <color indexed="81"/>
            <rFont val="Tahoma"/>
            <family val="2"/>
          </rPr>
          <t>This number can be changed in the Universal Input Prices Sheet</t>
        </r>
      </text>
    </comment>
    <comment ref="A33" authorId="0">
      <text>
        <r>
          <rPr>
            <b/>
            <sz val="8"/>
            <color indexed="81"/>
            <rFont val="Tahoma"/>
            <family val="2"/>
          </rPr>
          <t>Enter expected diesel fuel price and then quantity of fuel required per acre for the operations performed with owned equipment.</t>
        </r>
      </text>
    </comment>
    <comment ref="D33" authorId="0">
      <text>
        <r>
          <rPr>
            <b/>
            <sz val="8"/>
            <color indexed="81"/>
            <rFont val="Tahoma"/>
            <family val="2"/>
          </rPr>
          <t>This number can be changed in the Universal Input Prices Sheet</t>
        </r>
      </text>
    </comment>
    <comment ref="A34" authorId="0">
      <text>
        <r>
          <rPr>
            <b/>
            <sz val="8"/>
            <color indexed="81"/>
            <rFont val="Tahoma"/>
            <family val="2"/>
          </rPr>
          <t>Enter pickup fuel price and an estimate of the gallons of pickup fuel that will be used per acre.</t>
        </r>
      </text>
    </comment>
    <comment ref="D34" authorId="0">
      <text>
        <r>
          <rPr>
            <b/>
            <sz val="8"/>
            <color indexed="81"/>
            <rFont val="Tahoma"/>
            <family val="2"/>
          </rPr>
          <t>This number can be changed in the Universal Input Prices Sheet</t>
        </r>
      </text>
    </comment>
    <comment ref="A35" authorId="0">
      <text>
        <r>
          <rPr>
            <b/>
            <sz val="8"/>
            <color indexed="81"/>
            <rFont val="Tahoma"/>
            <family val="2"/>
          </rPr>
          <t>Enter estimated fuel costs per ac-in of water applied and then enter expected amount of water to be applied in ac-in.</t>
        </r>
      </text>
    </comment>
    <comment ref="D35" authorId="0">
      <text>
        <r>
          <rPr>
            <b/>
            <sz val="8"/>
            <color indexed="81"/>
            <rFont val="Tahoma"/>
            <family val="2"/>
          </rPr>
          <t>This number can be changed in the Universal Input Prices Sheet</t>
        </r>
      </text>
    </comment>
    <comment ref="A36" authorId="1">
      <text>
        <r>
          <rPr>
            <b/>
            <sz val="9"/>
            <color indexed="81"/>
            <rFont val="Tahoma"/>
            <family val="2"/>
          </rPr>
          <t>Enter the number of 24 hour days to pump the amount of water indicated in Irrigation Fuel.</t>
        </r>
      </text>
    </comment>
    <comment ref="A38" authorId="0">
      <text>
        <r>
          <rPr>
            <b/>
            <sz val="8"/>
            <color indexed="81"/>
            <rFont val="Tahoma"/>
            <family val="2"/>
          </rPr>
          <t>Enter your per acre estimate of repairs and maintenance that will be required to maintain implements, tractors and pickups.</t>
        </r>
      </text>
    </comment>
    <comment ref="B44" authorId="0">
      <text>
        <r>
          <rPr>
            <b/>
            <sz val="8"/>
            <color indexed="81"/>
            <rFont val="Tahoma"/>
            <family val="2"/>
          </rPr>
          <t>This number can be changed in the Universal Input Prices Sheet</t>
        </r>
      </text>
    </comment>
    <comment ref="F44" authorId="0">
      <text>
        <r>
          <rPr>
            <b/>
            <sz val="8"/>
            <color indexed="81"/>
            <rFont val="Tahoma"/>
            <family val="2"/>
          </rPr>
          <t>Calculation assumes that an amount 1/2 of the above pre-harvest direct expenses will be borrowed for 1 year.</t>
        </r>
      </text>
    </comment>
    <comment ref="G44" authorId="0">
      <text>
        <r>
          <rPr>
            <b/>
            <sz val="8"/>
            <color indexed="81"/>
            <rFont val="Tahoma"/>
            <family val="2"/>
          </rPr>
          <t>Calculation assumes that an amount 1/2 of the above pre-harvest direct expenses will be borrowed for 1 year.</t>
        </r>
      </text>
    </comment>
    <comment ref="H44" authorId="0">
      <text>
        <r>
          <rPr>
            <b/>
            <sz val="8"/>
            <color indexed="81"/>
            <rFont val="Tahoma"/>
            <family val="2"/>
          </rPr>
          <t>Calculation assumes that an amount 1/2 of the above pre-harvest direct expenses will be borrowed for 1 year.</t>
        </r>
      </text>
    </comment>
    <comment ref="A55" authorId="1">
      <text>
        <r>
          <rPr>
            <b/>
            <sz val="9"/>
            <color indexed="81"/>
            <rFont val="Tahoma"/>
            <family val="2"/>
          </rPr>
          <t>Management for a sole proprietor would be the return to his labor and management.  One way to think of this would be family living expenses the operator will pull from the farm on a per acre basis.</t>
        </r>
      </text>
    </comment>
    <comment ref="A57" authorId="1">
      <text>
        <r>
          <rPr>
            <b/>
            <sz val="9"/>
            <color indexed="81"/>
            <rFont val="Tahoma"/>
            <family val="2"/>
          </rPr>
          <t>Land represents the desired minimum return on investment.  For example: the return the owner could get if the land were sold and placed in a similar investment.</t>
        </r>
      </text>
    </comment>
  </commentList>
</comments>
</file>

<file path=xl/sharedStrings.xml><?xml version="1.0" encoding="utf-8"?>
<sst xmlns="http://schemas.openxmlformats.org/spreadsheetml/2006/main" count="2805" uniqueCount="281">
  <si>
    <t>Fertilizer</t>
  </si>
  <si>
    <t>Seed</t>
  </si>
  <si>
    <t>Tractors</t>
  </si>
  <si>
    <t xml:space="preserve">Item </t>
  </si>
  <si>
    <t>Quantity</t>
  </si>
  <si>
    <t>Unit</t>
  </si>
  <si>
    <t>Price</t>
  </si>
  <si>
    <t>Income</t>
  </si>
  <si>
    <t>cotton lint</t>
  </si>
  <si>
    <t>cotton seed</t>
  </si>
  <si>
    <t>tons</t>
  </si>
  <si>
    <t>Expected Turnout</t>
  </si>
  <si>
    <t>Total Income</t>
  </si>
  <si>
    <t>Boll Weevil  Assess.-Irr</t>
  </si>
  <si>
    <t>acre</t>
  </si>
  <si>
    <t>Field Operations</t>
  </si>
  <si>
    <t>harvest aids</t>
  </si>
  <si>
    <t>strip (field cleaner)</t>
  </si>
  <si>
    <t>ginning</t>
  </si>
  <si>
    <t>cwt.</t>
  </si>
  <si>
    <t>hoeing</t>
  </si>
  <si>
    <t>scouting</t>
  </si>
  <si>
    <t>Crop Insurance</t>
  </si>
  <si>
    <t>hours</t>
  </si>
  <si>
    <t>Irrigation Labor</t>
  </si>
  <si>
    <t>Diesel Fuel - Tractors</t>
  </si>
  <si>
    <t>gallons</t>
  </si>
  <si>
    <t>Gasoline - Pickup</t>
  </si>
  <si>
    <t>Irrigation Fuel</t>
  </si>
  <si>
    <t>acin</t>
  </si>
  <si>
    <t>Repair &amp; Maintenance</t>
  </si>
  <si>
    <t>Implements</t>
  </si>
  <si>
    <t>Irrigation-Above Ground</t>
  </si>
  <si>
    <t>Pickup</t>
  </si>
  <si>
    <t>Interest-operating capital</t>
  </si>
  <si>
    <t>Management</t>
  </si>
  <si>
    <t>Land</t>
  </si>
  <si>
    <t>Total Fixed Expenses</t>
  </si>
  <si>
    <t>Total Specified Expenses</t>
  </si>
  <si>
    <t>Returns Above Total Specified Expenses</t>
  </si>
  <si>
    <t xml:space="preserve">other </t>
  </si>
  <si>
    <t>Whole Farm Insurance</t>
  </si>
  <si>
    <t>Property Tax</t>
  </si>
  <si>
    <t>fertilizer application</t>
  </si>
  <si>
    <t>grazing</t>
  </si>
  <si>
    <t>custom harvest and haul</t>
  </si>
  <si>
    <t>bu.</t>
  </si>
  <si>
    <t>custom harvest &amp; haul</t>
  </si>
  <si>
    <t>hour</t>
  </si>
  <si>
    <t>crop consultant</t>
  </si>
  <si>
    <t>wheat</t>
  </si>
  <si>
    <t>ton</t>
  </si>
  <si>
    <t>Tenant</t>
  </si>
  <si>
    <t>Landlord</t>
  </si>
  <si>
    <t>cwt</t>
  </si>
  <si>
    <t>Share</t>
  </si>
  <si>
    <t>Total</t>
  </si>
  <si>
    <t>Peanuts</t>
  </si>
  <si>
    <t>digging</t>
  </si>
  <si>
    <t>drying</t>
  </si>
  <si>
    <t>soybeans</t>
  </si>
  <si>
    <t>Basic Universal Input Prices</t>
  </si>
  <si>
    <t>Labor</t>
  </si>
  <si>
    <t>Input Item</t>
  </si>
  <si>
    <t>/lb of P</t>
  </si>
  <si>
    <t>/lb of N</t>
  </si>
  <si>
    <t>/hour</t>
  </si>
  <si>
    <t>/gallon</t>
  </si>
  <si>
    <t>/acre inch</t>
  </si>
  <si>
    <t>Canola</t>
  </si>
  <si>
    <t>Cotton</t>
  </si>
  <si>
    <t>Cottonseed</t>
  </si>
  <si>
    <t>Corn</t>
  </si>
  <si>
    <t>Corn Silage</t>
  </si>
  <si>
    <t>Sorghum Silage</t>
  </si>
  <si>
    <t>Soybeans</t>
  </si>
  <si>
    <t>Sunflower - Oil</t>
  </si>
  <si>
    <t>Wheat</t>
  </si>
  <si>
    <t>Commodity</t>
  </si>
  <si>
    <t>lb</t>
  </si>
  <si>
    <t>bu</t>
  </si>
  <si>
    <t>Ginning</t>
  </si>
  <si>
    <t>/cwt seed cotton</t>
  </si>
  <si>
    <t>Comparative Returns</t>
  </si>
  <si>
    <t>corn silage</t>
  </si>
  <si>
    <t>corn grain</t>
  </si>
  <si>
    <t>peanuts</t>
  </si>
  <si>
    <t>sorghum silage</t>
  </si>
  <si>
    <t>oilseed sunflower</t>
  </si>
  <si>
    <t>canola</t>
  </si>
  <si>
    <t>sorghum grain</t>
  </si>
  <si>
    <t>oilseed sunflowers</t>
  </si>
  <si>
    <t>seed treatment</t>
  </si>
  <si>
    <t>Confectionary sunflower</t>
  </si>
  <si>
    <t>Contact Us</t>
  </si>
  <si>
    <t>Extension Ag Economics</t>
  </si>
  <si>
    <t>Master Marketer</t>
  </si>
  <si>
    <t>Market Outlook</t>
  </si>
  <si>
    <t>Futures Charts and Prices</t>
  </si>
  <si>
    <t>Introduction</t>
  </si>
  <si>
    <t>From Sheet to Sheet</t>
  </si>
  <si>
    <t>Saving Your Work</t>
  </si>
  <si>
    <t>Rental Agreement</t>
  </si>
  <si>
    <t>Cash</t>
  </si>
  <si>
    <t>tech fee</t>
  </si>
  <si>
    <t>innoculant</t>
  </si>
  <si>
    <t>peanut seed</t>
  </si>
  <si>
    <t>Alfalfa</t>
  </si>
  <si>
    <t>alfalfa hay</t>
  </si>
  <si>
    <t>alfalfa</t>
  </si>
  <si>
    <t>sulfur</t>
  </si>
  <si>
    <t>Perenial Crop Establishment</t>
  </si>
  <si>
    <t xml:space="preserve">Irrigated Alfalfa </t>
  </si>
  <si>
    <t>Irrigated Soybeans</t>
  </si>
  <si>
    <t>Irrigated Corn</t>
  </si>
  <si>
    <t>Irrigated Sorghum</t>
  </si>
  <si>
    <t>Irrigated Wheat</t>
  </si>
  <si>
    <t>Dryland Sorghum</t>
  </si>
  <si>
    <t>Dryland Wheat</t>
  </si>
  <si>
    <t>Budgets</t>
  </si>
  <si>
    <t>Irrigated Canola</t>
  </si>
  <si>
    <t>Dryland Canola</t>
  </si>
  <si>
    <t>corn seed</t>
  </si>
  <si>
    <t>soybean seed</t>
  </si>
  <si>
    <t>canola seed</t>
  </si>
  <si>
    <t>Irrigated Corn Silage</t>
  </si>
  <si>
    <t>Irrigated Sorghum Silage</t>
  </si>
  <si>
    <t>Seed Turnout</t>
  </si>
  <si>
    <t>lbs/500 lb bale</t>
  </si>
  <si>
    <t>Fertilizer Worksheet</t>
  </si>
  <si>
    <t>Cost per ton</t>
  </si>
  <si>
    <t>Sunflower - Conf. (large)</t>
  </si>
  <si>
    <t>Expected % Large</t>
  </si>
  <si>
    <t>fert (P) - dry</t>
  </si>
  <si>
    <t>fert (N) - dry</t>
  </si>
  <si>
    <t>fert (N) - liquid</t>
  </si>
  <si>
    <t>fert (P) - liquid</t>
  </si>
  <si>
    <t>Stripping &amp; module</t>
  </si>
  <si>
    <t>strip &amp; module</t>
  </si>
  <si>
    <t>bags</t>
  </si>
  <si>
    <t>Operator Labor &amp; Hand Labor</t>
  </si>
  <si>
    <t>appl</t>
  </si>
  <si>
    <t>bag</t>
  </si>
  <si>
    <t>custom baling</t>
  </si>
  <si>
    <t>2 to 3.5</t>
  </si>
  <si>
    <t>3.5 to 4.5</t>
  </si>
  <si>
    <t>4.5 to 7</t>
  </si>
  <si>
    <t>4.5 to 6</t>
  </si>
  <si>
    <t>7 to 8</t>
  </si>
  <si>
    <t>-</t>
  </si>
  <si>
    <t>ROVC/       Ac-In</t>
  </si>
  <si>
    <t xml:space="preserve"> </t>
  </si>
  <si>
    <t>CWT</t>
  </si>
  <si>
    <t>Yield</t>
  </si>
  <si>
    <t>BU</t>
  </si>
  <si>
    <t>TON</t>
  </si>
  <si>
    <t>Total ROVC at Various Irrigated and Dryland Combinations</t>
  </si>
  <si>
    <t>With Dryland  Cotton</t>
  </si>
  <si>
    <t>With Dryland  Wheat</t>
  </si>
  <si>
    <t>With Dryland Canola</t>
  </si>
  <si>
    <t>ROVC/ Acre</t>
  </si>
  <si>
    <t>Return on Investment</t>
  </si>
  <si>
    <t>seed sorghum</t>
  </si>
  <si>
    <t>Irrigated Cotton</t>
  </si>
  <si>
    <t>Irrigated Peanuts</t>
  </si>
  <si>
    <t>Irrigated Sorghum Sudangrass</t>
  </si>
  <si>
    <t>Irrigated Other Crop</t>
  </si>
  <si>
    <t>Dryland Cotton</t>
  </si>
  <si>
    <t>Dryland Sorghum Sudangrass</t>
  </si>
  <si>
    <t>Dryland Other Crop</t>
  </si>
  <si>
    <t>unit</t>
  </si>
  <si>
    <t>secondary income</t>
  </si>
  <si>
    <t>other irrigated crop</t>
  </si>
  <si>
    <t>crop consulting</t>
  </si>
  <si>
    <t>Sorghum</t>
  </si>
  <si>
    <t>Sorghum Seed</t>
  </si>
  <si>
    <t xml:space="preserve">Irrigated Sorghum Seed </t>
  </si>
  <si>
    <t xml:space="preserve">Irrigated Sunflowers-Confectionary </t>
  </si>
  <si>
    <t xml:space="preserve">Irrigated Sunflowers-Oilseed </t>
  </si>
  <si>
    <t xml:space="preserve">Dryland Sunflowers-Oilseed </t>
  </si>
  <si>
    <t>Total Revenue</t>
  </si>
  <si>
    <t>ac-in</t>
  </si>
  <si>
    <t>Minimum Planting Circle Size</t>
  </si>
  <si>
    <t>Min Planting Circle Size</t>
  </si>
  <si>
    <t>Farm Name</t>
  </si>
  <si>
    <t>2 to 8</t>
  </si>
  <si>
    <t>Maximum Irr Acreage</t>
  </si>
  <si>
    <t>Remaining Acres</t>
  </si>
  <si>
    <t>With Dryland Sorghum</t>
  </si>
  <si>
    <t>With Dryland Sorg. Sundangrass</t>
  </si>
  <si>
    <t>With Dryland Sunfl.-Oils.</t>
  </si>
  <si>
    <t>With Dryland Other Crop</t>
  </si>
  <si>
    <t>ABC Farm</t>
  </si>
  <si>
    <t>ROVC (Irr. Land)</t>
  </si>
  <si>
    <t xml:space="preserve"> Estimated Costs and Returns per Acre</t>
  </si>
  <si>
    <t>APR</t>
  </si>
  <si>
    <t>% P in Primary Phosphate Fertilizer - dry</t>
  </si>
  <si>
    <t>% N in Primary Nitrogen Fertilizer - dry</t>
  </si>
  <si>
    <t>% N in Primary Nitrogen Fertilizer - liquid</t>
  </si>
  <si>
    <t>% P in Primary Phosphate Fertilizer - liquid</t>
  </si>
  <si>
    <t>Analysis Selection</t>
  </si>
  <si>
    <t>Irrigation Analysis</t>
  </si>
  <si>
    <t>Irrigation Analysis Graphs</t>
  </si>
  <si>
    <t>Other Fixed Expenses</t>
  </si>
  <si>
    <t>Self Propelled Equipment</t>
  </si>
  <si>
    <t>Total Variable Costs</t>
  </si>
  <si>
    <t>Returns Above Variable Costs</t>
  </si>
  <si>
    <t>Variable Costs</t>
  </si>
  <si>
    <t>Fixed Costs</t>
  </si>
  <si>
    <t>Total Fixed Costs</t>
  </si>
  <si>
    <t>Total Specified Costs</t>
  </si>
  <si>
    <t>Returns Above Total Specified Costs</t>
  </si>
  <si>
    <t>Total Costs</t>
  </si>
  <si>
    <t>Return Over Variable Costs</t>
  </si>
  <si>
    <t>Return Over Total Costs</t>
  </si>
  <si>
    <t>Return Over Variable Costs
per Acre-Inch Applied</t>
  </si>
  <si>
    <t>Break-Even Yield to Cover 
Total Costs</t>
  </si>
  <si>
    <t>None</t>
  </si>
  <si>
    <r>
      <t xml:space="preserve">To enter personalized data in a budget, click on the number in </t>
    </r>
    <r>
      <rPr>
        <b/>
        <sz val="10"/>
        <color rgb="FF0000FF"/>
        <rFont val="Arial"/>
        <family val="2"/>
      </rPr>
      <t>BLUE</t>
    </r>
    <r>
      <rPr>
        <sz val="10"/>
        <rFont val="Arial"/>
        <family val="2"/>
      </rPr>
      <t xml:space="preserve"> that you wish to change, type in the new entry and press the Enter key, or just use the mouse to click on the next number that needs changing.  </t>
    </r>
    <r>
      <rPr>
        <b/>
        <sz val="10"/>
        <color rgb="FF006600"/>
        <rFont val="Arial"/>
        <family val="2"/>
      </rPr>
      <t>GREEN</t>
    </r>
    <r>
      <rPr>
        <sz val="10"/>
        <rFont val="Arial"/>
        <family val="2"/>
      </rPr>
      <t xml:space="preserve"> entries can only be altered in the Universal Input Prices sheet. If the meaning of a certain budget number is unclear, many have a red triangle beside the entry. Moving your mouse over the triangle will provide a more detailed explanation.   </t>
    </r>
  </si>
  <si>
    <t>Each crop budget (Irr Alfalfa, Irr Corn, etc) and analysis section (Prices, Break-Even, Comparative, Irrigation) is displayed on a separate tab/sheet.  However, summary tables in the analyses portion of this spreadsheet are tied to the budgets by equations, and will immediately update as you make changes to the individual budgets.</t>
  </si>
  <si>
    <t>BE Price to Cover Variable Costs</t>
  </si>
  <si>
    <t>BE Price to Cover Total Costs</t>
  </si>
  <si>
    <t>Crop GPM 
per acre</t>
  </si>
  <si>
    <t>Farm Assistance</t>
  </si>
  <si>
    <t>Texas Corn Producers</t>
  </si>
  <si>
    <t xml:space="preserve">Spreadsheets were developed as part of a project supported by the Texas Corn Producers to create a decision aid that assists irrigated operators in making management decisions on the optimal crop mix for their land. Certain applications utilized were initially created as part of a project funded by the Texas Cotton State Support Committee.   </t>
  </si>
  <si>
    <t>Irrigation Spreadsheet Project</t>
  </si>
  <si>
    <t xml:space="preserve">This tool requires Excel or a similar program that will read an Excel file. Budget cost estimates are not meant to represent any specific farm. They are averages, and serve as a starting point in your analysis.  Due to differences in soil types and other resources that vary from farm to farm, it is important that you enter individualized crop cost estimates to achieve realistic results. To make long run decisions and determine farm business sustainability in future years, you will need to estimate fixed costs as well.  </t>
  </si>
  <si>
    <t>Special Thanks</t>
  </si>
  <si>
    <t>Entering Your Numbers</t>
  </si>
  <si>
    <t>Printing</t>
  </si>
  <si>
    <t xml:space="preserve">The Menu sheet provides direct access to all crop budgets and summary pages from one location. It also allows the user to select the crops and scenarios they wish to see in the analyses tabs. To return to the Menu or navigate to the Prices, Break-even, Comparative, or Irrigation sections, use the colored navigation bar at the top of each sheet. </t>
  </si>
  <si>
    <t>Click on the crop budget name at the bottom of the screen to move from tab to tab. To scroll left or right and get access to budgets not listed on the screen, use the four small triangles in the bottom left corner of the worksheet.  Clicking on one of the triangles with a vertical line will take you to the first sheet or the last sheet.  Clicking on one of the triangles in the center will move over one sheet either left or right.</t>
  </si>
  <si>
    <t xml:space="preserve">If you want to keep the numbers entered for future sessions, all files must be saved.  To do this, just click on the Save icon (disk) to replace the original information with your new data.  If the Save icon is not visible, you can also select the File menu and then Save As and give the file a new name.  </t>
  </si>
  <si>
    <t xml:space="preserve">If visible, click on the printer icon above the screen. It is usually found on the second row from the top.  This should print a copy of the worksheet currently being viewed.  For multiple sheets, select the ones you wish to see by holding down the control key while left-clicking on each sheet/tab. Then, selecting the printer icon will print all chosen sheets.  If the icon is not visible, choose the File menu and then Print from the upper left corner, then follow the same procedures as above.      </t>
  </si>
  <si>
    <t>A special thanks goes to the project team of Steve Amosson, Thomas Marek, DeDe Jones, Jay Yates, Bridget Guerrero, and Michelle Jones and the project advisory committee of David Ford, Harold Grall, Tom Moore, and Mark Howard.</t>
  </si>
  <si>
    <t>herbicide &amp; application</t>
  </si>
  <si>
    <t>insecticide &amp; application</t>
  </si>
  <si>
    <t>preplant herbicide &amp; application</t>
  </si>
  <si>
    <t>post emergence herbicide &amp; application</t>
  </si>
  <si>
    <t>fungicide &amp; application</t>
  </si>
  <si>
    <t>clean-up herbicide &amp; application</t>
  </si>
  <si>
    <t>herbicide &amp; application (glyphosphate)</t>
  </si>
  <si>
    <t>herbicide &amp; application (2-4D/Prowl H2O)</t>
  </si>
  <si>
    <t>seed insecticide &amp; application</t>
  </si>
  <si>
    <t>custom harvest</t>
  </si>
  <si>
    <t>custom haul</t>
  </si>
  <si>
    <t>pesticide &amp; application (ammo)</t>
  </si>
  <si>
    <t>Pumping Days</t>
  </si>
  <si>
    <t>Calculated GPM capacity per acre needed</t>
  </si>
  <si>
    <t>Normal GPM/Acre by Crop</t>
  </si>
  <si>
    <t>Limited Max Irr Acreage</t>
  </si>
  <si>
    <t>LB</t>
  </si>
  <si>
    <t>/cwt cotton lint</t>
  </si>
  <si>
    <t>% N in Primary Nitrogen Fertilizer - NH3</t>
  </si>
  <si>
    <t xml:space="preserve">fert (N) - NH3 </t>
  </si>
  <si>
    <t>Boll Weevil  Assess.-Dry</t>
  </si>
  <si>
    <t>Grazing</t>
  </si>
  <si>
    <t>lb of gain</t>
  </si>
  <si>
    <t>Gross Acres</t>
  </si>
  <si>
    <t>Allowed Inches per Gross Acre</t>
  </si>
  <si>
    <t>Acres Available for Irrigation</t>
  </si>
  <si>
    <t>Total Well GPM to Pivot</t>
  </si>
  <si>
    <t>other income</t>
  </si>
  <si>
    <t>$/ac.</t>
  </si>
  <si>
    <t>The FARM Assistance Strategic Planning program is another useful tool for evaluating long term operational viability, and analyzing the financial impact of various business decisions such as acquiring more land or changing crop mixes. Contact DeDe Jones at 677-5600 or                                          for more information.</t>
  </si>
  <si>
    <t>Irrigated Triticale Silage</t>
  </si>
  <si>
    <t>triticale silage</t>
  </si>
  <si>
    <t>Triticale Silage</t>
  </si>
  <si>
    <t>Projected for 2016</t>
  </si>
  <si>
    <t>Comparative Break-Even Analysis Projected for 2016</t>
  </si>
  <si>
    <t>Version 12.17.2015</t>
  </si>
  <si>
    <t>Irrigation Investment</t>
  </si>
  <si>
    <t>Irrigation Equipment</t>
  </si>
  <si>
    <t>miticide</t>
  </si>
  <si>
    <t>herbicide preplant</t>
  </si>
  <si>
    <t>herbicide postplant</t>
  </si>
  <si>
    <t>insecticide &amp; application-headwrm</t>
  </si>
  <si>
    <t>insecticide sugar cane aphid</t>
  </si>
  <si>
    <t>insecticide &amp; application - headwrm</t>
  </si>
  <si>
    <t>insecticide headworm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</si>
</sst>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 numFmtId="167" formatCode="&quot;$&quot;#,##0.000"/>
    <numFmt numFmtId="168" formatCode="0.0%"/>
    <numFmt numFmtId="169" formatCode="#,##0.0"/>
    <numFmt numFmtId="170" formatCode="&quot;$&quot;#,##0.0000"/>
    <numFmt numFmtId="171" formatCode="_(&quot;$&quot;* #,##0.000_);_(&quot;$&quot;* \(#,##0.000\);_(&quot;$&quot;* &quot;-&quot;??_);_(@_)"/>
    <numFmt numFmtId="172" formatCode="_(&quot;$&quot;* #,##0.0000_);_(&quot;$&quot;* \(#,##0.0000\);_(&quot;$&quot;* &quot;-&quot;??_);_(@_)"/>
    <numFmt numFmtId="173" formatCode="#,##0.000"/>
    <numFmt numFmtId="174" formatCode="_(* #,##0_);_(* \(#,##0\);_(* &quot;-&quot;??_);_(@_)"/>
    <numFmt numFmtId="175" formatCode="&quot;$&quot;#,##0"/>
    <numFmt numFmtId="176" formatCode="0.000"/>
    <numFmt numFmtId="177" formatCode="&quot;$&quot;#,##0.00;[Red]&quot;$&quot;#,##0.00"/>
    <numFmt numFmtId="178" formatCode="_(* #,##0.0_);_(* \(#,##0.0\);_(* &quot;-&quot;?_);_(@_)"/>
  </numFmts>
  <fonts count="41" x14ac:knownFonts="1">
    <font>
      <sz val="10"/>
      <name val="Arial"/>
    </font>
    <font>
      <sz val="10"/>
      <name val="Arial"/>
      <family val="2"/>
    </font>
    <font>
      <b/>
      <sz val="10"/>
      <name val="Arial"/>
      <family val="2"/>
    </font>
    <font>
      <u/>
      <sz val="10"/>
      <color indexed="12"/>
      <name val="Arial"/>
      <family val="2"/>
    </font>
    <font>
      <sz val="10"/>
      <color indexed="12"/>
      <name val="Arial"/>
      <family val="2"/>
    </font>
    <font>
      <sz val="10"/>
      <color indexed="12"/>
      <name val="Arial"/>
      <family val="2"/>
    </font>
    <font>
      <sz val="10"/>
      <name val="Arial"/>
      <family val="2"/>
    </font>
    <font>
      <sz val="8"/>
      <color indexed="81"/>
      <name val="Tahoma"/>
      <family val="2"/>
    </font>
    <font>
      <b/>
      <sz val="8"/>
      <color indexed="81"/>
      <name val="Tahoma"/>
      <family val="2"/>
    </font>
    <font>
      <b/>
      <sz val="12"/>
      <name val="Arial"/>
      <family val="2"/>
    </font>
    <font>
      <sz val="10"/>
      <color indexed="8"/>
      <name val="Arial"/>
      <family val="2"/>
    </font>
    <font>
      <b/>
      <sz val="10"/>
      <color indexed="17"/>
      <name val="Arial"/>
      <family val="2"/>
    </font>
    <font>
      <b/>
      <sz val="10"/>
      <color indexed="12"/>
      <name val="Arial"/>
      <family val="2"/>
    </font>
    <font>
      <b/>
      <u/>
      <sz val="10"/>
      <color indexed="12"/>
      <name val="Arial"/>
      <family val="2"/>
    </font>
    <font>
      <b/>
      <sz val="8"/>
      <color indexed="9"/>
      <name val="Arial"/>
      <family val="2"/>
    </font>
    <font>
      <b/>
      <sz val="11"/>
      <name val="Arial"/>
      <family val="2"/>
    </font>
    <font>
      <sz val="8"/>
      <name val="Arial"/>
      <family val="2"/>
    </font>
    <font>
      <b/>
      <sz val="9"/>
      <color indexed="81"/>
      <name val="Tahoma"/>
      <family val="2"/>
    </font>
    <font>
      <sz val="10"/>
      <color indexed="10"/>
      <name val="Arial"/>
      <family val="2"/>
    </font>
    <font>
      <b/>
      <sz val="10"/>
      <color indexed="10"/>
      <name val="Arial"/>
      <family val="2"/>
    </font>
    <font>
      <sz val="10"/>
      <name val="Arial"/>
      <family val="2"/>
    </font>
    <font>
      <b/>
      <sz val="9"/>
      <name val="Arial"/>
      <family val="2"/>
    </font>
    <font>
      <sz val="9"/>
      <name val="Arial"/>
      <family val="2"/>
    </font>
    <font>
      <sz val="8"/>
      <name val="Arial"/>
      <family val="2"/>
    </font>
    <font>
      <sz val="9"/>
      <color indexed="9"/>
      <name val="Arial"/>
      <family val="2"/>
    </font>
    <font>
      <sz val="9"/>
      <color indexed="10"/>
      <name val="Arial"/>
      <family val="2"/>
    </font>
    <font>
      <sz val="12"/>
      <name val="Arial"/>
      <family val="2"/>
    </font>
    <font>
      <b/>
      <sz val="14"/>
      <name val="Arial"/>
      <family val="2"/>
    </font>
    <font>
      <b/>
      <i/>
      <sz val="11"/>
      <name val="Arial"/>
      <family val="2"/>
    </font>
    <font>
      <b/>
      <sz val="11"/>
      <color indexed="12"/>
      <name val="Arial"/>
      <family val="2"/>
    </font>
    <font>
      <b/>
      <sz val="11"/>
      <color rgb="FF0000FF"/>
      <name val="Arial"/>
      <family val="2"/>
    </font>
    <font>
      <sz val="11"/>
      <name val="Arial"/>
      <family val="2"/>
    </font>
    <font>
      <b/>
      <sz val="10"/>
      <color rgb="FF0000FF"/>
      <name val="Arial"/>
      <family val="2"/>
    </font>
    <font>
      <b/>
      <sz val="8"/>
      <color theme="0"/>
      <name val="Arial"/>
      <family val="2"/>
    </font>
    <font>
      <b/>
      <sz val="10"/>
      <color rgb="FF006600"/>
      <name val="Arial"/>
      <family val="2"/>
    </font>
    <font>
      <sz val="10"/>
      <color rgb="FF0000FF"/>
      <name val="Arial"/>
      <family val="2"/>
    </font>
    <font>
      <b/>
      <sz val="25"/>
      <color rgb="FF336633"/>
      <name val="Trebuchet MS"/>
      <family val="2"/>
    </font>
    <font>
      <sz val="9"/>
      <color indexed="81"/>
      <name val="Tahoma"/>
      <family val="2"/>
    </font>
    <font>
      <sz val="12"/>
      <color rgb="FF008000"/>
      <name val="Arial"/>
      <family val="2"/>
    </font>
    <font>
      <sz val="11"/>
      <color rgb="FF000000"/>
      <name val="Calibri"/>
      <family val="2"/>
    </font>
    <font>
      <sz val="10"/>
      <color theme="0"/>
      <name val="Arial"/>
      <family val="2"/>
    </font>
  </fonts>
  <fills count="15">
    <fill>
      <patternFill patternType="none"/>
    </fill>
    <fill>
      <patternFill patternType="gray125"/>
    </fill>
    <fill>
      <patternFill patternType="solid">
        <fgColor indexed="1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theme="4" tint="0.79998168889431442"/>
      </right>
      <top/>
      <bottom/>
      <diagonal/>
    </border>
  </borders>
  <cellStyleXfs count="7">
    <xf numFmtId="0" fontId="0" fillId="0" borderId="0"/>
    <xf numFmtId="43" fontId="20"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338">
    <xf numFmtId="0" fontId="0" fillId="0" borderId="0" xfId="0"/>
    <xf numFmtId="2" fontId="0" fillId="0" borderId="0" xfId="0" applyNumberFormat="1"/>
    <xf numFmtId="0" fontId="1" fillId="0" borderId="0" xfId="0" applyFont="1" applyAlignment="1" applyProtection="1">
      <alignment horizontal="left" indent="1"/>
    </xf>
    <xf numFmtId="164" fontId="6" fillId="0" borderId="0" xfId="0" applyNumberFormat="1" applyFont="1" applyBorder="1" applyProtection="1"/>
    <xf numFmtId="0" fontId="0" fillId="0" borderId="0" xfId="0" applyProtection="1"/>
    <xf numFmtId="2" fontId="0" fillId="0" borderId="0" xfId="0" applyNumberFormat="1" applyBorder="1" applyProtection="1"/>
    <xf numFmtId="0" fontId="0" fillId="0" borderId="0" xfId="0" applyBorder="1" applyProtection="1"/>
    <xf numFmtId="0" fontId="0" fillId="0" borderId="0" xfId="0" applyAlignment="1" applyProtection="1">
      <alignment horizontal="left" indent="1"/>
    </xf>
    <xf numFmtId="164" fontId="0" fillId="0" borderId="0" xfId="0" applyNumberFormat="1" applyBorder="1" applyProtection="1"/>
    <xf numFmtId="0" fontId="0" fillId="0" borderId="0" xfId="0" applyAlignment="1" applyProtection="1">
      <alignment horizontal="right"/>
    </xf>
    <xf numFmtId="166" fontId="0" fillId="0" borderId="0" xfId="0" applyNumberFormat="1" applyBorder="1" applyProtection="1"/>
    <xf numFmtId="168" fontId="0" fillId="0" borderId="0" xfId="0" applyNumberFormat="1" applyBorder="1" applyProtection="1"/>
    <xf numFmtId="0" fontId="2" fillId="0" borderId="0" xfId="0" applyFont="1" applyProtection="1"/>
    <xf numFmtId="167" fontId="4" fillId="0" borderId="0" xfId="0" applyNumberFormat="1" applyFont="1" applyBorder="1" applyProtection="1">
      <protection locked="0"/>
    </xf>
    <xf numFmtId="164" fontId="4" fillId="0" borderId="0" xfId="0" applyNumberFormat="1" applyFont="1" applyBorder="1" applyProtection="1">
      <protection locked="0"/>
    </xf>
    <xf numFmtId="164" fontId="4" fillId="0" borderId="0" xfId="0" applyNumberFormat="1" applyFont="1" applyBorder="1" applyProtection="1"/>
    <xf numFmtId="0" fontId="5" fillId="0" borderId="0" xfId="0" applyFont="1" applyAlignment="1" applyProtection="1">
      <alignment horizontal="left" indent="1"/>
      <protection locked="0"/>
    </xf>
    <xf numFmtId="164" fontId="0" fillId="0" borderId="0" xfId="0" applyNumberFormat="1"/>
    <xf numFmtId="168" fontId="1" fillId="0" borderId="0" xfId="0" applyNumberFormat="1" applyFont="1" applyBorder="1" applyProtection="1"/>
    <xf numFmtId="168" fontId="5" fillId="0" borderId="0" xfId="0" applyNumberFormat="1" applyFont="1" applyBorder="1" applyProtection="1">
      <protection locked="0"/>
    </xf>
    <xf numFmtId="0" fontId="0" fillId="0" borderId="0" xfId="0" applyBorder="1" applyAlignment="1" applyProtection="1">
      <alignment wrapText="1"/>
    </xf>
    <xf numFmtId="168" fontId="5" fillId="0" borderId="0" xfId="0" applyNumberFormat="1" applyFont="1" applyBorder="1" applyProtection="1"/>
    <xf numFmtId="164" fontId="1" fillId="0" borderId="0" xfId="0" applyNumberFormat="1" applyFont="1" applyBorder="1" applyProtection="1"/>
    <xf numFmtId="169" fontId="4" fillId="0" borderId="0" xfId="0" applyNumberFormat="1" applyFont="1" applyBorder="1" applyProtection="1">
      <protection locked="0"/>
    </xf>
    <xf numFmtId="165" fontId="4" fillId="0" borderId="0" xfId="0" applyNumberFormat="1" applyFont="1" applyBorder="1" applyProtection="1">
      <protection locked="0"/>
    </xf>
    <xf numFmtId="165" fontId="6" fillId="0" borderId="0" xfId="0" applyNumberFormat="1" applyFont="1" applyBorder="1" applyProtection="1"/>
    <xf numFmtId="165" fontId="4" fillId="0" borderId="0" xfId="0" applyNumberFormat="1" applyFont="1" applyBorder="1" applyProtection="1"/>
    <xf numFmtId="165" fontId="0" fillId="0" borderId="0" xfId="0" applyNumberFormat="1" applyBorder="1" applyProtection="1"/>
    <xf numFmtId="2" fontId="4" fillId="0" borderId="0" xfId="0" applyNumberFormat="1" applyFont="1" applyBorder="1" applyProtection="1">
      <protection locked="0"/>
    </xf>
    <xf numFmtId="165" fontId="1" fillId="0" borderId="0" xfId="0" applyNumberFormat="1" applyFont="1" applyBorder="1" applyProtection="1"/>
    <xf numFmtId="166" fontId="2" fillId="0" borderId="0" xfId="0" applyNumberFormat="1" applyFont="1" applyBorder="1" applyProtection="1"/>
    <xf numFmtId="2" fontId="2" fillId="0" borderId="0" xfId="0" applyNumberFormat="1" applyFont="1" applyBorder="1" applyProtection="1"/>
    <xf numFmtId="164" fontId="9" fillId="0" borderId="0" xfId="0" applyNumberFormat="1" applyFont="1" applyBorder="1" applyProtection="1"/>
    <xf numFmtId="2" fontId="5" fillId="0" borderId="0" xfId="0" applyNumberFormat="1" applyFont="1" applyBorder="1" applyProtection="1">
      <protection locked="0"/>
    </xf>
    <xf numFmtId="9" fontId="4" fillId="0" borderId="0" xfId="4" applyFont="1" applyBorder="1" applyProtection="1">
      <protection locked="0"/>
    </xf>
    <xf numFmtId="9" fontId="0" fillId="0" borderId="0" xfId="4" applyFont="1" applyBorder="1" applyProtection="1"/>
    <xf numFmtId="9" fontId="4" fillId="0" borderId="0" xfId="4" applyFont="1" applyBorder="1" applyProtection="1"/>
    <xf numFmtId="9" fontId="6" fillId="0" borderId="0" xfId="4" applyFont="1" applyBorder="1" applyProtection="1"/>
    <xf numFmtId="9" fontId="2" fillId="0" borderId="0" xfId="4" applyFont="1" applyBorder="1" applyProtection="1"/>
    <xf numFmtId="8" fontId="1" fillId="0" borderId="0" xfId="0" applyNumberFormat="1" applyFont="1" applyBorder="1" applyProtection="1"/>
    <xf numFmtId="0" fontId="0" fillId="0" borderId="0" xfId="0" applyBorder="1" applyAlignment="1" applyProtection="1"/>
    <xf numFmtId="2" fontId="0" fillId="0" borderId="0" xfId="0" applyNumberFormat="1" applyProtection="1"/>
    <xf numFmtId="164" fontId="0" fillId="0" borderId="0" xfId="0" applyNumberFormat="1" applyProtection="1"/>
    <xf numFmtId="2" fontId="6" fillId="0" borderId="0" xfId="0" applyNumberFormat="1" applyFont="1" applyBorder="1" applyProtection="1"/>
    <xf numFmtId="9" fontId="5" fillId="0" borderId="0" xfId="4" applyFont="1" applyBorder="1" applyProtection="1">
      <protection locked="0"/>
    </xf>
    <xf numFmtId="9" fontId="0" fillId="0" borderId="0" xfId="4" applyFont="1" applyProtection="1"/>
    <xf numFmtId="164" fontId="4" fillId="0" borderId="0" xfId="0" applyNumberFormat="1" applyFont="1" applyProtection="1"/>
    <xf numFmtId="4" fontId="4" fillId="0" borderId="0" xfId="0" applyNumberFormat="1" applyFont="1" applyBorder="1" applyProtection="1">
      <protection locked="0"/>
    </xf>
    <xf numFmtId="2" fontId="1" fillId="0" borderId="0" xfId="0" applyNumberFormat="1" applyFont="1" applyBorder="1" applyProtection="1"/>
    <xf numFmtId="0" fontId="9" fillId="0" borderId="0" xfId="0" applyFont="1"/>
    <xf numFmtId="0" fontId="6" fillId="0" borderId="0" xfId="0" applyFont="1"/>
    <xf numFmtId="0" fontId="6" fillId="0" borderId="0" xfId="0" applyFont="1" applyAlignment="1">
      <alignment horizontal="left" indent="1"/>
    </xf>
    <xf numFmtId="0" fontId="2" fillId="0" borderId="0" xfId="0" applyFont="1" applyBorder="1"/>
    <xf numFmtId="2" fontId="0" fillId="0" borderId="0" xfId="0" applyNumberFormat="1" applyBorder="1" applyAlignment="1" applyProtection="1">
      <alignment horizontal="right"/>
    </xf>
    <xf numFmtId="167" fontId="11" fillId="0" borderId="0" xfId="0" applyNumberFormat="1" applyFont="1" applyBorder="1" applyProtection="1"/>
    <xf numFmtId="164" fontId="11" fillId="0" borderId="0" xfId="0" applyNumberFormat="1" applyFont="1" applyBorder="1" applyProtection="1"/>
    <xf numFmtId="10" fontId="11" fillId="0" borderId="0" xfId="4" applyNumberFormat="1" applyFont="1" applyBorder="1" applyProtection="1"/>
    <xf numFmtId="44" fontId="12" fillId="0" borderId="0" xfId="2" applyFont="1" applyProtection="1">
      <protection locked="0"/>
    </xf>
    <xf numFmtId="0" fontId="2" fillId="0" borderId="0" xfId="0" applyFont="1"/>
    <xf numFmtId="0" fontId="12" fillId="0" borderId="0" xfId="0" applyFont="1"/>
    <xf numFmtId="171" fontId="12" fillId="0" borderId="0" xfId="2" applyNumberFormat="1" applyFont="1" applyProtection="1">
      <protection locked="0"/>
    </xf>
    <xf numFmtId="0" fontId="10" fillId="0" borderId="0" xfId="0" applyFont="1" applyAlignment="1" applyProtection="1">
      <alignment horizontal="left" indent="1"/>
    </xf>
    <xf numFmtId="9" fontId="1" fillId="0" borderId="0" xfId="4" applyBorder="1" applyProtection="1"/>
    <xf numFmtId="9" fontId="1" fillId="0" borderId="0" xfId="4" applyProtection="1"/>
    <xf numFmtId="168" fontId="0" fillId="0" borderId="0" xfId="0" applyNumberFormat="1" applyProtection="1"/>
    <xf numFmtId="168" fontId="4" fillId="0" borderId="0" xfId="4" applyNumberFormat="1" applyFont="1" applyBorder="1" applyProtection="1"/>
    <xf numFmtId="2" fontId="4" fillId="0" borderId="0" xfId="0" applyNumberFormat="1" applyFont="1" applyBorder="1" applyProtection="1"/>
    <xf numFmtId="167" fontId="4" fillId="0" borderId="0" xfId="0" applyNumberFormat="1" applyFont="1" applyBorder="1" applyProtection="1"/>
    <xf numFmtId="0" fontId="0" fillId="0" borderId="0" xfId="0" applyFill="1" applyBorder="1"/>
    <xf numFmtId="0" fontId="14" fillId="0" borderId="0" xfId="0" applyFont="1"/>
    <xf numFmtId="2" fontId="14" fillId="0" borderId="0" xfId="0" applyNumberFormat="1" applyFont="1" applyFill="1" applyBorder="1" applyProtection="1"/>
    <xf numFmtId="8" fontId="2" fillId="0" borderId="0" xfId="0" applyNumberFormat="1" applyFont="1" applyBorder="1" applyProtection="1"/>
    <xf numFmtId="8" fontId="15" fillId="0" borderId="0" xfId="0" applyNumberFormat="1" applyFont="1" applyBorder="1" applyProtection="1"/>
    <xf numFmtId="9" fontId="12" fillId="0" borderId="0" xfId="4" applyFont="1" applyBorder="1" applyProtection="1"/>
    <xf numFmtId="8" fontId="0" fillId="0" borderId="0" xfId="0" applyNumberFormat="1"/>
    <xf numFmtId="0" fontId="3" fillId="0" borderId="0" xfId="3" applyAlignment="1" applyProtection="1"/>
    <xf numFmtId="0" fontId="9" fillId="0" borderId="0" xfId="0" applyFont="1" applyAlignment="1">
      <alignment horizontal="center" vertical="center"/>
    </xf>
    <xf numFmtId="0" fontId="0" fillId="0" borderId="0" xfId="0" applyFill="1"/>
    <xf numFmtId="44" fontId="12" fillId="0" borderId="0" xfId="2" applyNumberFormat="1" applyFont="1" applyProtection="1">
      <protection locked="0"/>
    </xf>
    <xf numFmtId="172" fontId="12" fillId="0" borderId="0" xfId="2" applyNumberFormat="1" applyFont="1" applyProtection="1">
      <protection locked="0"/>
    </xf>
    <xf numFmtId="170" fontId="11" fillId="0" borderId="0" xfId="0" applyNumberFormat="1" applyFont="1" applyBorder="1" applyProtection="1"/>
    <xf numFmtId="168" fontId="12" fillId="0" borderId="0" xfId="4" applyNumberFormat="1" applyFont="1" applyProtection="1">
      <protection locked="0"/>
    </xf>
    <xf numFmtId="8" fontId="6" fillId="0" borderId="0" xfId="0" applyNumberFormat="1" applyFont="1" applyBorder="1" applyProtection="1"/>
    <xf numFmtId="173" fontId="11" fillId="0" borderId="0" xfId="0" applyNumberFormat="1" applyFont="1" applyBorder="1" applyProtection="1"/>
    <xf numFmtId="17" fontId="0" fillId="0" borderId="0" xfId="0" quotePrefix="1" applyNumberFormat="1"/>
    <xf numFmtId="0" fontId="1" fillId="0" borderId="0" xfId="0" applyFont="1"/>
    <xf numFmtId="2" fontId="0" fillId="0" borderId="0" xfId="0" applyNumberFormat="1" applyFont="1" applyFill="1" applyBorder="1" applyProtection="1"/>
    <xf numFmtId="164" fontId="4" fillId="0" borderId="0" xfId="0" applyNumberFormat="1" applyFont="1" applyFill="1" applyBorder="1" applyProtection="1">
      <protection locked="0"/>
    </xf>
    <xf numFmtId="44" fontId="12" fillId="0" borderId="0" xfId="2" applyFont="1" applyFill="1" applyProtection="1">
      <protection locked="0"/>
    </xf>
    <xf numFmtId="10" fontId="11" fillId="0" borderId="0" xfId="4" applyNumberFormat="1" applyFont="1" applyFill="1" applyBorder="1" applyProtection="1"/>
    <xf numFmtId="0" fontId="18" fillId="0" borderId="0" xfId="0" applyFont="1"/>
    <xf numFmtId="0" fontId="19" fillId="0" borderId="0" xfId="0" applyFont="1" applyFill="1" applyBorder="1"/>
    <xf numFmtId="0" fontId="2" fillId="0" borderId="0" xfId="0" applyFont="1" applyFill="1" applyBorder="1" applyProtection="1"/>
    <xf numFmtId="0" fontId="1" fillId="0" borderId="0" xfId="0" applyFont="1" applyBorder="1"/>
    <xf numFmtId="0" fontId="22" fillId="0" borderId="0" xfId="0" applyFont="1" applyFill="1" applyBorder="1"/>
    <xf numFmtId="0" fontId="22" fillId="0" borderId="0" xfId="0" applyFont="1" applyFill="1" applyAlignment="1">
      <alignment wrapText="1"/>
    </xf>
    <xf numFmtId="0" fontId="22" fillId="0" borderId="0" xfId="0" applyFont="1" applyFill="1"/>
    <xf numFmtId="175" fontId="22" fillId="0" borderId="0" xfId="1" applyNumberFormat="1" applyFont="1" applyFill="1" applyBorder="1"/>
    <xf numFmtId="0" fontId="22" fillId="0" borderId="0" xfId="0" applyFont="1" applyFill="1" applyAlignment="1">
      <alignment horizontal="right"/>
    </xf>
    <xf numFmtId="174" fontId="22" fillId="0" borderId="0" xfId="1" applyNumberFormat="1" applyFont="1" applyFill="1" applyBorder="1"/>
    <xf numFmtId="0" fontId="22" fillId="0" borderId="0" xfId="0" applyFont="1" applyFill="1" applyBorder="1" applyAlignment="1">
      <alignment horizontal="right"/>
    </xf>
    <xf numFmtId="174" fontId="22" fillId="0" borderId="0" xfId="1" applyNumberFormat="1" applyFont="1" applyFill="1" applyBorder="1" applyAlignment="1">
      <alignment horizontal="right"/>
    </xf>
    <xf numFmtId="175" fontId="24" fillId="0" borderId="0" xfId="1" applyNumberFormat="1" applyFont="1" applyFill="1" applyBorder="1"/>
    <xf numFmtId="0" fontId="24" fillId="0" borderId="0" xfId="0" applyFont="1" applyFill="1" applyBorder="1"/>
    <xf numFmtId="0" fontId="25" fillId="2" borderId="0" xfId="0" applyFont="1" applyFill="1" applyBorder="1"/>
    <xf numFmtId="175" fontId="25" fillId="0" borderId="0" xfId="1" applyNumberFormat="1" applyFont="1" applyFill="1" applyBorder="1"/>
    <xf numFmtId="0" fontId="25" fillId="0" borderId="0" xfId="0" applyFont="1" applyFill="1" applyBorder="1"/>
    <xf numFmtId="1" fontId="0" fillId="0" borderId="0" xfId="0" applyNumberFormat="1" applyProtection="1"/>
    <xf numFmtId="176" fontId="0" fillId="0" borderId="0" xfId="0" applyNumberFormat="1"/>
    <xf numFmtId="0" fontId="0" fillId="0" borderId="0" xfId="0" applyAlignment="1">
      <alignment horizontal="right"/>
    </xf>
    <xf numFmtId="0" fontId="0" fillId="0" borderId="0" xfId="0" applyAlignment="1"/>
    <xf numFmtId="1" fontId="0" fillId="0" borderId="0" xfId="0" applyNumberFormat="1"/>
    <xf numFmtId="0" fontId="29" fillId="0" borderId="0" xfId="0" applyFont="1" applyBorder="1" applyAlignment="1" applyProtection="1">
      <alignment horizontal="center"/>
      <protection locked="0"/>
    </xf>
    <xf numFmtId="0" fontId="15" fillId="0" borderId="0" xfId="0" applyFont="1" applyProtection="1"/>
    <xf numFmtId="9" fontId="29" fillId="0" borderId="0" xfId="4" applyFont="1" applyBorder="1" applyProtection="1"/>
    <xf numFmtId="10" fontId="15" fillId="0" borderId="0" xfId="4" applyNumberFormat="1" applyFont="1" applyProtection="1"/>
    <xf numFmtId="2" fontId="0" fillId="0" borderId="0" xfId="0" applyNumberFormat="1" applyBorder="1" applyAlignment="1" applyProtection="1">
      <alignment horizontal="right"/>
    </xf>
    <xf numFmtId="0" fontId="1" fillId="0" borderId="0" xfId="0" applyFont="1" applyAlignment="1">
      <alignment horizontal="left" indent="1"/>
    </xf>
    <xf numFmtId="2" fontId="0" fillId="0" borderId="0" xfId="0" applyNumberFormat="1" applyBorder="1" applyAlignment="1" applyProtection="1">
      <alignment horizontal="right"/>
    </xf>
    <xf numFmtId="2" fontId="0" fillId="0" borderId="0" xfId="0" applyNumberFormat="1" applyBorder="1" applyAlignment="1" applyProtection="1">
      <alignment horizontal="right"/>
    </xf>
    <xf numFmtId="0" fontId="1" fillId="0" borderId="0" xfId="0" applyFont="1" applyBorder="1" applyAlignment="1" applyProtection="1">
      <alignment horizontal="left"/>
    </xf>
    <xf numFmtId="0" fontId="1" fillId="0" borderId="0" xfId="0" applyFont="1" applyBorder="1" applyAlignment="1" applyProtection="1">
      <alignment horizontal="left"/>
      <protection locked="0"/>
    </xf>
    <xf numFmtId="0" fontId="1" fillId="0" borderId="0" xfId="0" applyFont="1" applyBorder="1" applyAlignment="1" applyProtection="1">
      <alignment horizontal="right"/>
    </xf>
    <xf numFmtId="2" fontId="1" fillId="0" borderId="0" xfId="0" applyNumberFormat="1" applyFont="1" applyFill="1" applyBorder="1" applyAlignment="1" applyProtection="1">
      <alignment horizontal="right"/>
    </xf>
    <xf numFmtId="7" fontId="1" fillId="0" borderId="0" xfId="2" applyNumberFormat="1" applyFont="1" applyBorder="1"/>
    <xf numFmtId="4" fontId="1" fillId="0" borderId="0" xfId="0" applyNumberFormat="1" applyFont="1"/>
    <xf numFmtId="0" fontId="0" fillId="0" borderId="0" xfId="0" applyFill="1" applyProtection="1"/>
    <xf numFmtId="0" fontId="0" fillId="0" borderId="0" xfId="0" applyFill="1" applyAlignment="1" applyProtection="1">
      <alignment horizontal="right"/>
    </xf>
    <xf numFmtId="2" fontId="1" fillId="0" borderId="0" xfId="0" applyNumberFormat="1" applyFont="1" applyBorder="1" applyAlignment="1" applyProtection="1">
      <alignment horizontal="right"/>
    </xf>
    <xf numFmtId="0" fontId="1" fillId="0" borderId="0" xfId="0" applyFont="1" applyBorder="1" applyAlignment="1" applyProtection="1">
      <alignment horizontal="left"/>
    </xf>
    <xf numFmtId="164" fontId="0" fillId="0" borderId="0" xfId="0" applyNumberFormat="1" applyFill="1"/>
    <xf numFmtId="164" fontId="0" fillId="0" borderId="0" xfId="0" applyNumberFormat="1" applyFill="1" applyProtection="1"/>
    <xf numFmtId="164" fontId="0" fillId="0" borderId="0" xfId="2" applyNumberFormat="1" applyFont="1" applyAlignment="1" applyProtection="1">
      <alignment horizontal="right"/>
    </xf>
    <xf numFmtId="164" fontId="0" fillId="0" borderId="0" xfId="2" applyNumberFormat="1" applyFont="1" applyFill="1" applyAlignment="1" applyProtection="1">
      <alignment horizontal="right"/>
    </xf>
    <xf numFmtId="2" fontId="0" fillId="0" borderId="0" xfId="0" applyNumberFormat="1" applyFill="1" applyProtection="1"/>
    <xf numFmtId="1" fontId="0" fillId="0" borderId="0" xfId="0" applyNumberFormat="1" applyFill="1" applyProtection="1"/>
    <xf numFmtId="0" fontId="1" fillId="0" borderId="0" xfId="0" applyFont="1" applyBorder="1" applyAlignment="1" applyProtection="1"/>
    <xf numFmtId="1" fontId="1" fillId="0" borderId="0" xfId="0" applyNumberFormat="1" applyFont="1"/>
    <xf numFmtId="1" fontId="1" fillId="0" borderId="0" xfId="0" applyNumberFormat="1" applyFont="1" applyBorder="1" applyAlignment="1" applyProtection="1"/>
    <xf numFmtId="1" fontId="1" fillId="0" borderId="0" xfId="0" applyNumberFormat="1" applyFont="1" applyBorder="1" applyAlignment="1" applyProtection="1">
      <alignment horizontal="right"/>
    </xf>
    <xf numFmtId="1" fontId="1" fillId="0" borderId="0" xfId="0" applyNumberFormat="1" applyFont="1" applyBorder="1"/>
    <xf numFmtId="2" fontId="2" fillId="0" borderId="0" xfId="0" applyNumberFormat="1" applyFont="1" applyBorder="1" applyAlignment="1" applyProtection="1">
      <alignment horizontal="right"/>
    </xf>
    <xf numFmtId="0" fontId="2" fillId="0" borderId="0" xfId="0" applyFont="1" applyBorder="1" applyAlignment="1" applyProtection="1">
      <alignment horizontal="right"/>
    </xf>
    <xf numFmtId="2" fontId="2" fillId="0" borderId="0" xfId="0" applyNumberFormat="1" applyFont="1" applyFill="1" applyBorder="1" applyAlignment="1" applyProtection="1">
      <alignment horizontal="right"/>
    </xf>
    <xf numFmtId="0" fontId="15" fillId="0" borderId="0" xfId="0" applyFont="1" applyAlignment="1">
      <alignment horizontal="right"/>
    </xf>
    <xf numFmtId="0" fontId="31" fillId="0" borderId="0" xfId="0" applyFont="1"/>
    <xf numFmtId="164" fontId="22" fillId="0" borderId="0" xfId="0" applyNumberFormat="1" applyFont="1" applyFill="1"/>
    <xf numFmtId="0" fontId="21" fillId="0" borderId="0" xfId="0" applyFont="1" applyFill="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0" fillId="0" borderId="1" xfId="0" applyBorder="1"/>
    <xf numFmtId="0" fontId="2" fillId="0" borderId="0" xfId="0" applyFont="1" applyFill="1" applyAlignment="1">
      <alignment horizontal="center" wrapText="1"/>
    </xf>
    <xf numFmtId="0" fontId="2" fillId="0" borderId="0" xfId="0" applyFont="1" applyFill="1" applyBorder="1" applyAlignment="1"/>
    <xf numFmtId="164" fontId="1" fillId="0" borderId="0" xfId="0" applyNumberFormat="1" applyFont="1" applyFill="1" applyBorder="1" applyAlignment="1">
      <alignment horizontal="right"/>
    </xf>
    <xf numFmtId="0" fontId="2" fillId="5" borderId="1" xfId="0" applyFont="1" applyFill="1" applyBorder="1" applyAlignment="1">
      <alignment horizontal="center" wrapText="1"/>
    </xf>
    <xf numFmtId="0" fontId="13" fillId="0" borderId="0" xfId="3" applyFont="1" applyAlignment="1" applyProtection="1">
      <alignment horizontal="left"/>
    </xf>
    <xf numFmtId="0" fontId="1" fillId="6" borderId="1" xfId="0" applyFont="1" applyFill="1" applyBorder="1" applyAlignment="1">
      <alignment horizontal="right"/>
    </xf>
    <xf numFmtId="10" fontId="12" fillId="0" borderId="0" xfId="4" applyNumberFormat="1" applyFont="1" applyFill="1" applyProtection="1">
      <protection locked="0"/>
    </xf>
    <xf numFmtId="8" fontId="1" fillId="0" borderId="0" xfId="0" applyNumberFormat="1" applyFont="1" applyFill="1" applyBorder="1" applyProtection="1"/>
    <xf numFmtId="0" fontId="0" fillId="0" borderId="0" xfId="0" applyFill="1" applyBorder="1" applyAlignment="1" applyProtection="1"/>
    <xf numFmtId="0" fontId="29" fillId="0" borderId="0" xfId="0" applyFont="1" applyFill="1" applyBorder="1" applyAlignment="1" applyProtection="1">
      <alignment horizontal="center"/>
      <protection locked="0"/>
    </xf>
    <xf numFmtId="0" fontId="14" fillId="0" borderId="0" xfId="0" applyFont="1" applyFill="1"/>
    <xf numFmtId="2" fontId="0" fillId="0" borderId="0" xfId="0" applyNumberFormat="1" applyFill="1"/>
    <xf numFmtId="2" fontId="0" fillId="0" borderId="0" xfId="0" applyNumberFormat="1" applyFill="1" applyBorder="1" applyAlignment="1" applyProtection="1">
      <alignment horizontal="right"/>
    </xf>
    <xf numFmtId="2" fontId="0" fillId="0" borderId="0" xfId="0" applyNumberFormat="1" applyFill="1" applyBorder="1" applyProtection="1"/>
    <xf numFmtId="0" fontId="0" fillId="0" borderId="0" xfId="0" applyFill="1" applyBorder="1" applyProtection="1"/>
    <xf numFmtId="0" fontId="0" fillId="0" borderId="0" xfId="0" applyFill="1" applyAlignment="1" applyProtection="1">
      <alignment horizontal="left" indent="1"/>
    </xf>
    <xf numFmtId="169" fontId="4" fillId="0" borderId="0" xfId="0" applyNumberFormat="1" applyFont="1" applyFill="1" applyBorder="1" applyProtection="1">
      <protection locked="0"/>
    </xf>
    <xf numFmtId="170" fontId="11" fillId="0" borderId="0" xfId="0" applyNumberFormat="1" applyFont="1" applyFill="1" applyBorder="1" applyProtection="1"/>
    <xf numFmtId="9" fontId="4" fillId="0" borderId="0" xfId="4" applyFont="1" applyFill="1" applyBorder="1" applyProtection="1">
      <protection locked="0"/>
    </xf>
    <xf numFmtId="164" fontId="0" fillId="0" borderId="0" xfId="0" applyNumberFormat="1" applyFill="1" applyBorder="1" applyProtection="1"/>
    <xf numFmtId="168" fontId="0" fillId="0" borderId="0" xfId="0" applyNumberFormat="1" applyFill="1" applyProtection="1"/>
    <xf numFmtId="173" fontId="11" fillId="0" borderId="0" xfId="0" applyNumberFormat="1" applyFont="1" applyFill="1" applyBorder="1" applyProtection="1"/>
    <xf numFmtId="164" fontId="11" fillId="0" borderId="0" xfId="0" applyNumberFormat="1" applyFont="1" applyFill="1" applyBorder="1" applyProtection="1"/>
    <xf numFmtId="168" fontId="5" fillId="0" borderId="0" xfId="0" applyNumberFormat="1" applyFont="1" applyFill="1" applyBorder="1" applyProtection="1">
      <protection locked="0"/>
    </xf>
    <xf numFmtId="9" fontId="4" fillId="0" borderId="0" xfId="4" applyFont="1" applyFill="1" applyBorder="1" applyProtection="1"/>
    <xf numFmtId="0" fontId="0" fillId="0" borderId="0" xfId="0" applyFill="1" applyBorder="1" applyAlignment="1" applyProtection="1">
      <alignment wrapText="1"/>
    </xf>
    <xf numFmtId="165" fontId="4" fillId="0" borderId="0" xfId="0" applyNumberFormat="1" applyFont="1" applyFill="1" applyBorder="1" applyProtection="1">
      <protection locked="0"/>
    </xf>
    <xf numFmtId="167" fontId="4" fillId="0" borderId="0" xfId="0" applyNumberFormat="1" applyFont="1" applyFill="1" applyBorder="1" applyProtection="1">
      <protection locked="0"/>
    </xf>
    <xf numFmtId="168" fontId="5" fillId="0" borderId="0" xfId="0" applyNumberFormat="1" applyFont="1" applyFill="1" applyBorder="1" applyProtection="1"/>
    <xf numFmtId="165" fontId="6" fillId="0" borderId="0" xfId="0" applyNumberFormat="1" applyFont="1" applyFill="1" applyBorder="1" applyProtection="1"/>
    <xf numFmtId="164" fontId="4" fillId="0" borderId="0" xfId="0" applyNumberFormat="1" applyFont="1" applyFill="1" applyBorder="1" applyProtection="1"/>
    <xf numFmtId="167" fontId="11" fillId="0" borderId="0" xfId="0" applyNumberFormat="1" applyFont="1" applyFill="1" applyBorder="1" applyProtection="1"/>
    <xf numFmtId="165" fontId="0" fillId="0" borderId="0" xfId="0" applyNumberFormat="1" applyFill="1" applyBorder="1" applyProtection="1"/>
    <xf numFmtId="0" fontId="1" fillId="0" borderId="0" xfId="0" applyFont="1" applyFill="1" applyAlignment="1" applyProtection="1">
      <alignment horizontal="left" indent="1"/>
    </xf>
    <xf numFmtId="0" fontId="5" fillId="0" borderId="0" xfId="0" applyFont="1" applyFill="1" applyAlignment="1" applyProtection="1">
      <alignment horizontal="left" indent="1"/>
      <protection locked="0"/>
    </xf>
    <xf numFmtId="2" fontId="4" fillId="0" borderId="0" xfId="0" applyNumberFormat="1" applyFont="1" applyFill="1" applyBorder="1" applyProtection="1">
      <protection locked="0"/>
    </xf>
    <xf numFmtId="164" fontId="1" fillId="0" borderId="0" xfId="0" applyNumberFormat="1" applyFont="1" applyFill="1" applyBorder="1" applyProtection="1"/>
    <xf numFmtId="166" fontId="0" fillId="0" borderId="0" xfId="0" applyNumberFormat="1" applyFill="1" applyBorder="1" applyProtection="1"/>
    <xf numFmtId="168" fontId="0" fillId="0" borderId="0" xfId="0" applyNumberFormat="1" applyFill="1" applyBorder="1" applyProtection="1"/>
    <xf numFmtId="0" fontId="2" fillId="0" borderId="0" xfId="0" applyFont="1" applyFill="1" applyProtection="1"/>
    <xf numFmtId="8" fontId="15" fillId="0" borderId="0" xfId="0" applyNumberFormat="1" applyFont="1" applyFill="1" applyBorder="1" applyProtection="1"/>
    <xf numFmtId="168" fontId="4" fillId="0" borderId="0" xfId="4" applyNumberFormat="1" applyFont="1" applyFill="1" applyBorder="1" applyProtection="1"/>
    <xf numFmtId="2" fontId="6" fillId="0" borderId="0" xfId="0" applyNumberFormat="1" applyFont="1" applyFill="1" applyBorder="1" applyProtection="1"/>
    <xf numFmtId="0" fontId="15" fillId="0" borderId="0" xfId="0" applyFont="1" applyFill="1" applyProtection="1"/>
    <xf numFmtId="9" fontId="29" fillId="0" borderId="0" xfId="4" applyFont="1" applyFill="1" applyBorder="1" applyProtection="1"/>
    <xf numFmtId="10" fontId="15" fillId="0" borderId="0" xfId="4" applyNumberFormat="1" applyFont="1" applyFill="1" applyProtection="1"/>
    <xf numFmtId="164" fontId="4" fillId="0" borderId="0" xfId="0" applyNumberFormat="1" applyFont="1" applyFill="1" applyProtection="1"/>
    <xf numFmtId="0" fontId="27" fillId="0" borderId="0" xfId="0" applyFont="1" applyAlignment="1" applyProtection="1"/>
    <xf numFmtId="168" fontId="4" fillId="0" borderId="0" xfId="4" applyNumberFormat="1" applyFont="1" applyFill="1" applyBorder="1" applyProtection="1">
      <protection locked="0"/>
    </xf>
    <xf numFmtId="0" fontId="2" fillId="0" borderId="0" xfId="0" applyFont="1" applyAlignment="1" applyProtection="1"/>
    <xf numFmtId="0" fontId="2" fillId="8" borderId="1" xfId="0" applyFont="1" applyFill="1" applyBorder="1" applyAlignment="1">
      <alignment horizontal="center" wrapText="1"/>
    </xf>
    <xf numFmtId="0" fontId="1" fillId="7" borderId="3" xfId="0" applyFont="1" applyFill="1" applyBorder="1" applyAlignment="1">
      <alignment horizontal="right"/>
    </xf>
    <xf numFmtId="0" fontId="1" fillId="7" borderId="1" xfId="0" applyFont="1" applyFill="1" applyBorder="1" applyAlignment="1">
      <alignment horizontal="right"/>
    </xf>
    <xf numFmtId="0" fontId="2" fillId="9" borderId="1" xfId="0" applyFont="1" applyFill="1" applyBorder="1" applyAlignment="1">
      <alignment horizontal="center" wrapText="1"/>
    </xf>
    <xf numFmtId="164" fontId="0" fillId="9" borderId="1" xfId="0" applyNumberFormat="1" applyFill="1" applyBorder="1"/>
    <xf numFmtId="164" fontId="0" fillId="3" borderId="3" xfId="0" applyNumberFormat="1" applyFill="1" applyBorder="1"/>
    <xf numFmtId="164" fontId="1" fillId="3" borderId="1" xfId="0" applyNumberFormat="1" applyFont="1" applyFill="1" applyBorder="1" applyAlignment="1">
      <alignment horizontal="right"/>
    </xf>
    <xf numFmtId="164" fontId="0" fillId="3" borderId="1" xfId="0" applyNumberFormat="1" applyFill="1" applyBorder="1"/>
    <xf numFmtId="0" fontId="2" fillId="10" borderId="1" xfId="0" applyFont="1" applyFill="1" applyBorder="1" applyAlignment="1">
      <alignment horizontal="center" wrapText="1"/>
    </xf>
    <xf numFmtId="0" fontId="2" fillId="10" borderId="2" xfId="0" applyFont="1" applyFill="1" applyBorder="1" applyAlignment="1">
      <alignment horizontal="center" wrapText="1"/>
    </xf>
    <xf numFmtId="0" fontId="0" fillId="11" borderId="0" xfId="0" applyFill="1" applyProtection="1"/>
    <xf numFmtId="0" fontId="0" fillId="11" borderId="0" xfId="0" applyFill="1" applyAlignment="1" applyProtection="1">
      <alignment horizontal="right"/>
    </xf>
    <xf numFmtId="9" fontId="4" fillId="11" borderId="0" xfId="0" applyNumberFormat="1" applyFont="1" applyFill="1" applyProtection="1">
      <protection locked="0"/>
    </xf>
    <xf numFmtId="2" fontId="0" fillId="11" borderId="0" xfId="0" applyNumberFormat="1" applyFill="1" applyProtection="1"/>
    <xf numFmtId="9" fontId="1" fillId="11" borderId="0" xfId="0" applyNumberFormat="1" applyFont="1" applyFill="1" applyProtection="1"/>
    <xf numFmtId="164" fontId="0" fillId="8" borderId="0" xfId="0" applyNumberFormat="1" applyFill="1" applyAlignment="1" applyProtection="1">
      <alignment horizontal="right"/>
    </xf>
    <xf numFmtId="164" fontId="0" fillId="8" borderId="0" xfId="2" applyNumberFormat="1" applyFont="1" applyFill="1" applyAlignment="1" applyProtection="1">
      <alignment horizontal="right"/>
    </xf>
    <xf numFmtId="164" fontId="0" fillId="14" borderId="0" xfId="0" applyNumberFormat="1" applyFill="1" applyAlignment="1" applyProtection="1">
      <alignment horizontal="right"/>
    </xf>
    <xf numFmtId="164" fontId="0" fillId="14" borderId="0" xfId="2" applyNumberFormat="1" applyFont="1" applyFill="1" applyAlignment="1" applyProtection="1">
      <alignment horizontal="right"/>
    </xf>
    <xf numFmtId="1" fontId="2" fillId="0" borderId="0" xfId="0" applyNumberFormat="1" applyFont="1" applyBorder="1" applyAlignment="1" applyProtection="1">
      <alignment horizontal="center" wrapText="1"/>
    </xf>
    <xf numFmtId="177" fontId="0" fillId="0" borderId="0" xfId="2" applyNumberFormat="1" applyFont="1" applyBorder="1" applyAlignment="1">
      <alignment horizontal="right"/>
    </xf>
    <xf numFmtId="2" fontId="1" fillId="14" borderId="0" xfId="0" applyNumberFormat="1" applyFont="1" applyFill="1" applyBorder="1" applyAlignment="1" applyProtection="1">
      <alignment horizontal="right"/>
    </xf>
    <xf numFmtId="7" fontId="1" fillId="14" borderId="0" xfId="2" applyNumberFormat="1" applyFont="1" applyFill="1" applyBorder="1"/>
    <xf numFmtId="2" fontId="1" fillId="13" borderId="0" xfId="0" applyNumberFormat="1" applyFont="1" applyFill="1" applyBorder="1" applyAlignment="1" applyProtection="1">
      <alignment horizontal="right"/>
    </xf>
    <xf numFmtId="0" fontId="1" fillId="13" borderId="0" xfId="0" applyFont="1" applyFill="1" applyBorder="1" applyAlignment="1" applyProtection="1">
      <alignment horizontal="right"/>
    </xf>
    <xf numFmtId="7" fontId="1" fillId="13" borderId="0" xfId="2" applyNumberFormat="1" applyFont="1" applyFill="1" applyBorder="1"/>
    <xf numFmtId="2" fontId="1" fillId="12" borderId="0" xfId="0" applyNumberFormat="1" applyFont="1" applyFill="1" applyBorder="1" applyAlignment="1" applyProtection="1">
      <alignment horizontal="right"/>
    </xf>
    <xf numFmtId="0" fontId="1" fillId="12" borderId="0" xfId="0" applyFont="1" applyFill="1" applyBorder="1" applyAlignment="1" applyProtection="1">
      <alignment horizontal="right"/>
    </xf>
    <xf numFmtId="7" fontId="1" fillId="12" borderId="0" xfId="2" applyNumberFormat="1" applyFont="1" applyFill="1" applyBorder="1"/>
    <xf numFmtId="8" fontId="1" fillId="12" borderId="0" xfId="2" applyNumberFormat="1" applyFont="1" applyFill="1" applyBorder="1"/>
    <xf numFmtId="2" fontId="1" fillId="10" borderId="0" xfId="0" applyNumberFormat="1" applyFont="1" applyFill="1" applyBorder="1" applyAlignment="1" applyProtection="1">
      <alignment horizontal="right"/>
    </xf>
    <xf numFmtId="0" fontId="1" fillId="10" borderId="0" xfId="0" applyFont="1" applyFill="1" applyBorder="1" applyAlignment="1" applyProtection="1">
      <alignment horizontal="right"/>
    </xf>
    <xf numFmtId="0" fontId="2" fillId="14" borderId="0" xfId="0" applyFont="1" applyFill="1" applyBorder="1" applyAlignment="1" applyProtection="1">
      <alignment horizontal="center" wrapText="1"/>
    </xf>
    <xf numFmtId="9" fontId="1" fillId="14" borderId="0" xfId="2" applyNumberFormat="1" applyFont="1" applyFill="1" applyBorder="1"/>
    <xf numFmtId="10" fontId="15" fillId="0" borderId="0" xfId="4" applyNumberFormat="1" applyFont="1" applyAlignment="1" applyProtection="1">
      <alignment horizontal="right"/>
    </xf>
    <xf numFmtId="164" fontId="0" fillId="9" borderId="1" xfId="0" applyNumberFormat="1" applyFill="1" applyBorder="1" applyAlignment="1">
      <alignment horizontal="right"/>
    </xf>
    <xf numFmtId="175" fontId="2" fillId="14" borderId="1" xfId="0" applyNumberFormat="1" applyFont="1" applyFill="1" applyBorder="1" applyAlignment="1">
      <alignment horizontal="right"/>
    </xf>
    <xf numFmtId="175" fontId="2" fillId="10" borderId="1" xfId="0" applyNumberFormat="1" applyFont="1" applyFill="1" applyBorder="1" applyAlignment="1">
      <alignment horizontal="right"/>
    </xf>
    <xf numFmtId="175" fontId="2" fillId="10" borderId="2" xfId="0" applyNumberFormat="1" applyFont="1" applyFill="1" applyBorder="1" applyAlignment="1">
      <alignment horizontal="right"/>
    </xf>
    <xf numFmtId="2" fontId="22" fillId="0" borderId="0" xfId="1" applyNumberFormat="1" applyFont="1" applyFill="1" applyBorder="1"/>
    <xf numFmtId="0" fontId="28" fillId="0" borderId="0" xfId="0" applyFont="1" applyBorder="1" applyAlignment="1" applyProtection="1">
      <alignment horizontal="right"/>
    </xf>
    <xf numFmtId="0" fontId="28" fillId="0" borderId="0" xfId="0" applyFont="1" applyBorder="1" applyAlignment="1" applyProtection="1">
      <alignment horizontal="right"/>
    </xf>
    <xf numFmtId="0" fontId="28" fillId="0" borderId="0" xfId="0" applyFont="1" applyFill="1" applyBorder="1" applyAlignment="1" applyProtection="1">
      <alignment horizontal="right"/>
    </xf>
    <xf numFmtId="2" fontId="0" fillId="0" borderId="0" xfId="0" applyNumberFormat="1" applyBorder="1" applyAlignment="1" applyProtection="1"/>
    <xf numFmtId="0" fontId="28" fillId="0" borderId="0" xfId="0" applyFont="1" applyBorder="1" applyAlignment="1" applyProtection="1"/>
    <xf numFmtId="0" fontId="33" fillId="0" borderId="0" xfId="0" applyFont="1"/>
    <xf numFmtId="2" fontId="33" fillId="0" borderId="0" xfId="0" applyNumberFormat="1" applyFont="1" applyFill="1" applyBorder="1" applyProtection="1"/>
    <xf numFmtId="2" fontId="1" fillId="0" borderId="0" xfId="0" applyNumberFormat="1" applyFont="1" applyBorder="1" applyAlignment="1" applyProtection="1"/>
    <xf numFmtId="2" fontId="0" fillId="0" borderId="0" xfId="0" applyNumberFormat="1" applyFill="1" applyBorder="1" applyAlignment="1" applyProtection="1"/>
    <xf numFmtId="0" fontId="28" fillId="0" borderId="0" xfId="0" applyFont="1" applyFill="1" applyBorder="1" applyAlignment="1" applyProtection="1"/>
    <xf numFmtId="1" fontId="0" fillId="5" borderId="1" xfId="0" applyNumberFormat="1" applyFill="1" applyBorder="1"/>
    <xf numFmtId="0" fontId="16" fillId="0" borderId="0" xfId="0" applyFont="1" applyAlignment="1"/>
    <xf numFmtId="0" fontId="1" fillId="0" borderId="0" xfId="0" applyFont="1" applyAlignment="1">
      <alignment vertical="top" wrapText="1"/>
    </xf>
    <xf numFmtId="0" fontId="13" fillId="0" borderId="0" xfId="3" applyFont="1" applyAlignment="1" applyProtection="1"/>
    <xf numFmtId="0" fontId="0" fillId="0" borderId="0" xfId="0" applyProtection="1">
      <protection locked="0"/>
    </xf>
    <xf numFmtId="0" fontId="30" fillId="4" borderId="1" xfId="0" applyFont="1" applyFill="1" applyBorder="1" applyProtection="1">
      <protection locked="0"/>
    </xf>
    <xf numFmtId="12" fontId="30" fillId="4" borderId="1" xfId="0" applyNumberFormat="1" applyFont="1" applyFill="1" applyBorder="1" applyAlignment="1" applyProtection="1">
      <alignment horizontal="right"/>
      <protection locked="0"/>
    </xf>
    <xf numFmtId="0" fontId="32" fillId="0" borderId="0" xfId="0" applyFont="1" applyProtection="1">
      <protection locked="0"/>
    </xf>
    <xf numFmtId="1" fontId="1" fillId="0" borderId="0" xfId="0" applyNumberFormat="1" applyFont="1" applyBorder="1" applyAlignment="1" applyProtection="1">
      <alignment horizontal="left"/>
    </xf>
    <xf numFmtId="9" fontId="4" fillId="0" borderId="0" xfId="0" applyNumberFormat="1" applyFont="1" applyProtection="1"/>
    <xf numFmtId="0" fontId="2" fillId="0" borderId="0" xfId="0" applyFont="1" applyBorder="1" applyAlignment="1" applyProtection="1"/>
    <xf numFmtId="0" fontId="9" fillId="0" borderId="0" xfId="0" applyFont="1" applyAlignment="1" applyProtection="1"/>
    <xf numFmtId="0" fontId="1" fillId="0" borderId="0" xfId="0" applyFont="1" applyAlignment="1">
      <alignment horizontal="left" vertical="top" wrapText="1" indent="1"/>
    </xf>
    <xf numFmtId="0" fontId="0" fillId="0" borderId="0" xfId="0" applyBorder="1" applyAlignment="1" applyProtection="1">
      <alignment horizontal="right"/>
    </xf>
    <xf numFmtId="2" fontId="4" fillId="0" borderId="0" xfId="0" applyNumberFormat="1" applyFont="1" applyBorder="1" applyAlignment="1" applyProtection="1">
      <alignment horizontal="right"/>
      <protection locked="0"/>
    </xf>
    <xf numFmtId="0" fontId="15" fillId="0" borderId="0" xfId="0" applyFont="1" applyAlignment="1" applyProtection="1">
      <alignment horizontal="right"/>
    </xf>
    <xf numFmtId="0" fontId="0" fillId="0" borderId="0" xfId="0" applyBorder="1" applyAlignment="1" applyProtection="1">
      <alignment horizontal="right" indent="1"/>
    </xf>
    <xf numFmtId="8" fontId="2" fillId="0" borderId="0" xfId="0" applyNumberFormat="1" applyFont="1" applyBorder="1" applyAlignment="1" applyProtection="1">
      <alignment horizontal="right"/>
    </xf>
    <xf numFmtId="2" fontId="0" fillId="0" borderId="0" xfId="0" applyNumberFormat="1" applyAlignment="1">
      <alignment horizontal="right"/>
    </xf>
    <xf numFmtId="2" fontId="0" fillId="0" borderId="0" xfId="0" applyNumberFormat="1" applyAlignment="1" applyProtection="1">
      <alignment horizontal="right"/>
    </xf>
    <xf numFmtId="49" fontId="4" fillId="0" borderId="0" xfId="0" applyNumberFormat="1" applyFont="1" applyBorder="1" applyAlignment="1" applyProtection="1">
      <alignment horizontal="right"/>
      <protection locked="0"/>
    </xf>
    <xf numFmtId="2" fontId="35" fillId="0" borderId="0" xfId="0" applyNumberFormat="1" applyFont="1" applyBorder="1" applyAlignment="1" applyProtection="1">
      <alignment horizontal="right"/>
      <protection locked="0"/>
    </xf>
    <xf numFmtId="0" fontId="0" fillId="0" borderId="0" xfId="0" applyFill="1" applyBorder="1" applyAlignment="1" applyProtection="1">
      <alignment horizontal="right"/>
    </xf>
    <xf numFmtId="2" fontId="4" fillId="0" borderId="0" xfId="0" applyNumberFormat="1" applyFont="1" applyFill="1" applyBorder="1" applyAlignment="1" applyProtection="1">
      <alignment horizontal="right"/>
      <protection locked="0"/>
    </xf>
    <xf numFmtId="0" fontId="15" fillId="0" borderId="0" xfId="0" applyFont="1" applyFill="1" applyAlignment="1" applyProtection="1">
      <alignment horizontal="right"/>
    </xf>
    <xf numFmtId="2" fontId="0" fillId="0" borderId="0" xfId="0" applyNumberFormat="1" applyFill="1" applyAlignment="1" applyProtection="1">
      <alignment horizontal="right"/>
    </xf>
    <xf numFmtId="0" fontId="35" fillId="0" borderId="0" xfId="0" applyFont="1" applyAlignment="1" applyProtection="1">
      <alignment horizontal="left" indent="1"/>
      <protection locked="0"/>
    </xf>
    <xf numFmtId="0" fontId="0" fillId="11" borderId="0" xfId="0" applyFill="1" applyAlignment="1" applyProtection="1">
      <alignment wrapText="1"/>
    </xf>
    <xf numFmtId="0" fontId="0" fillId="0" borderId="0" xfId="0" applyFill="1" applyAlignment="1" applyProtection="1">
      <alignment wrapText="1"/>
    </xf>
    <xf numFmtId="0" fontId="3" fillId="4" borderId="1" xfId="3" applyFill="1" applyBorder="1" applyAlignment="1" applyProtection="1">
      <alignment horizontal="right"/>
    </xf>
    <xf numFmtId="0" fontId="2" fillId="4" borderId="1" xfId="0" applyFont="1" applyFill="1" applyBorder="1" applyAlignment="1">
      <alignment horizontal="center" wrapText="1"/>
    </xf>
    <xf numFmtId="0" fontId="36" fillId="0" borderId="0" xfId="0" applyFont="1"/>
    <xf numFmtId="8" fontId="0" fillId="0" borderId="0" xfId="2" applyNumberFormat="1" applyFont="1" applyBorder="1"/>
    <xf numFmtId="0" fontId="3" fillId="0" borderId="0" xfId="3" applyFill="1" applyBorder="1" applyAlignment="1" applyProtection="1">
      <alignment horizontal="left"/>
    </xf>
    <xf numFmtId="0" fontId="2" fillId="0" borderId="0" xfId="0" applyFont="1" applyFill="1" applyBorder="1" applyAlignment="1" applyProtection="1">
      <alignment horizontal="center" vertical="center" wrapText="1"/>
      <protection locked="0"/>
    </xf>
    <xf numFmtId="0" fontId="22" fillId="0" borderId="7" xfId="0" applyFont="1" applyFill="1" applyBorder="1"/>
    <xf numFmtId="0" fontId="39" fillId="0" borderId="0" xfId="0" applyFont="1" applyBorder="1" applyAlignment="1">
      <alignment wrapText="1"/>
    </xf>
    <xf numFmtId="0" fontId="30" fillId="4" borderId="3" xfId="0" applyFont="1" applyFill="1" applyBorder="1" applyProtection="1">
      <protection locked="0"/>
    </xf>
    <xf numFmtId="0" fontId="16" fillId="0" borderId="0" xfId="0" applyFont="1" applyAlignment="1">
      <alignment vertical="top" wrapText="1"/>
    </xf>
    <xf numFmtId="0" fontId="1" fillId="0" borderId="0" xfId="0" applyFont="1" applyProtection="1"/>
    <xf numFmtId="0" fontId="4" fillId="0" borderId="0" xfId="0" applyFont="1" applyAlignment="1" applyProtection="1">
      <alignment horizontal="left" indent="1"/>
      <protection locked="0"/>
    </xf>
    <xf numFmtId="0" fontId="1" fillId="11" borderId="0" xfId="0" applyFont="1" applyFill="1" applyAlignment="1" applyProtection="1">
      <alignment horizontal="right"/>
    </xf>
    <xf numFmtId="0" fontId="30" fillId="4" borderId="1" xfId="0" applyFont="1" applyFill="1" applyBorder="1" applyProtection="1">
      <protection locked="0"/>
    </xf>
    <xf numFmtId="0" fontId="40" fillId="0" borderId="0" xfId="0" applyFont="1"/>
    <xf numFmtId="0" fontId="40" fillId="0" borderId="0" xfId="0" applyFont="1" applyFill="1" applyAlignment="1">
      <alignment horizontal="right"/>
    </xf>
    <xf numFmtId="12" fontId="40" fillId="0" borderId="0" xfId="0" applyNumberFormat="1" applyFont="1"/>
    <xf numFmtId="0" fontId="2" fillId="0" borderId="6"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2" fillId="14" borderId="1" xfId="0" applyFont="1" applyFill="1" applyBorder="1" applyAlignment="1">
      <alignment horizontal="center" wrapText="1"/>
    </xf>
    <xf numFmtId="2" fontId="30" fillId="4" borderId="1" xfId="0" applyNumberFormat="1" applyFont="1" applyFill="1" applyBorder="1" applyAlignment="1" applyProtection="1">
      <protection locked="0"/>
    </xf>
    <xf numFmtId="0" fontId="34" fillId="0" borderId="0" xfId="0" applyFont="1" applyAlignment="1" applyProtection="1">
      <alignment horizontal="left" indent="1"/>
      <protection locked="0"/>
    </xf>
    <xf numFmtId="0" fontId="1" fillId="0" borderId="0" xfId="0" applyFont="1" applyFill="1" applyProtection="1"/>
    <xf numFmtId="1" fontId="12" fillId="0" borderId="0" xfId="2" applyNumberFormat="1" applyFont="1" applyFill="1" applyProtection="1">
      <protection locked="0"/>
    </xf>
    <xf numFmtId="0" fontId="35" fillId="0" borderId="0" xfId="0" applyFont="1" applyAlignment="1" applyProtection="1">
      <alignment horizontal="left" indent="1"/>
    </xf>
    <xf numFmtId="44" fontId="12" fillId="0" borderId="0" xfId="2" applyFont="1" applyProtection="1"/>
    <xf numFmtId="0" fontId="32" fillId="0" borderId="0" xfId="0" applyFont="1" applyProtection="1"/>
    <xf numFmtId="8" fontId="0" fillId="0" borderId="0" xfId="0" applyNumberFormat="1" applyProtection="1"/>
    <xf numFmtId="178" fontId="1" fillId="10" borderId="0" xfId="2" applyNumberFormat="1" applyFont="1" applyFill="1" applyBorder="1"/>
    <xf numFmtId="38" fontId="0" fillId="0" borderId="1" xfId="0" applyNumberFormat="1" applyBorder="1"/>
    <xf numFmtId="165" fontId="2" fillId="8" borderId="1" xfId="0" applyNumberFormat="1" applyFont="1" applyFill="1" applyBorder="1" applyProtection="1"/>
    <xf numFmtId="1" fontId="4" fillId="0" borderId="0" xfId="0" applyNumberFormat="1" applyFont="1" applyBorder="1" applyProtection="1">
      <protection locked="0"/>
    </xf>
    <xf numFmtId="0" fontId="2" fillId="0" borderId="0" xfId="0" applyFont="1" applyAlignment="1">
      <alignment horizontal="center"/>
    </xf>
    <xf numFmtId="0" fontId="1" fillId="0" borderId="0" xfId="0" applyFont="1" applyAlignment="1">
      <alignment horizontal="left" vertical="top" wrapText="1" indent="1"/>
    </xf>
    <xf numFmtId="0" fontId="1" fillId="0" borderId="0" xfId="0" applyFont="1" applyAlignment="1">
      <alignment horizontal="left" vertical="top" wrapText="1"/>
    </xf>
    <xf numFmtId="0" fontId="0" fillId="0" borderId="0" xfId="0" applyAlignment="1">
      <alignment horizontal="left" vertical="top" wrapText="1" indent="1"/>
    </xf>
    <xf numFmtId="0" fontId="9" fillId="0" borderId="0" xfId="0" applyFont="1" applyAlignment="1">
      <alignment horizontal="center" vertical="center"/>
    </xf>
    <xf numFmtId="0" fontId="27" fillId="0" borderId="0" xfId="0" applyFont="1" applyAlignment="1" applyProtection="1">
      <alignment horizontal="center"/>
    </xf>
    <xf numFmtId="0" fontId="26" fillId="0" borderId="0" xfId="0" applyFont="1" applyAlignment="1" applyProtection="1">
      <alignment horizontal="center"/>
    </xf>
    <xf numFmtId="0" fontId="38" fillId="0" borderId="0" xfId="0" applyFont="1" applyAlignment="1" applyProtection="1">
      <alignment horizontal="center"/>
    </xf>
    <xf numFmtId="0" fontId="26" fillId="0" borderId="0" xfId="0" applyFont="1" applyFill="1" applyAlignment="1" applyProtection="1">
      <alignment horizontal="center"/>
    </xf>
    <xf numFmtId="0" fontId="2" fillId="0" borderId="0" xfId="0" applyFont="1" applyAlignment="1" applyProtection="1">
      <alignment horizontal="left" wrapText="1"/>
    </xf>
    <xf numFmtId="0" fontId="1" fillId="0" borderId="0" xfId="0" applyFont="1" applyAlignment="1" applyProtection="1">
      <alignment horizontal="left"/>
    </xf>
    <xf numFmtId="0" fontId="0" fillId="0" borderId="0" xfId="0" applyAlignment="1" applyProtection="1">
      <alignment horizontal="left"/>
    </xf>
    <xf numFmtId="0" fontId="2" fillId="0" borderId="0" xfId="0" applyFont="1" applyAlignment="1" applyProtection="1">
      <alignment horizontal="left"/>
    </xf>
    <xf numFmtId="164" fontId="1" fillId="8" borderId="0" xfId="0" applyNumberFormat="1" applyFont="1" applyFill="1" applyAlignment="1" applyProtection="1">
      <alignment horizontal="center" wrapText="1"/>
    </xf>
    <xf numFmtId="164" fontId="0" fillId="8" borderId="0" xfId="0" applyNumberFormat="1" applyFill="1" applyAlignment="1" applyProtection="1">
      <alignment horizontal="center" wrapText="1"/>
    </xf>
    <xf numFmtId="164" fontId="1" fillId="14" borderId="0" xfId="0" applyNumberFormat="1" applyFont="1" applyFill="1" applyAlignment="1" applyProtection="1">
      <alignment horizontal="center" wrapText="1"/>
    </xf>
    <xf numFmtId="164" fontId="0" fillId="14" borderId="0" xfId="0" applyNumberFormat="1" applyFill="1" applyAlignment="1" applyProtection="1">
      <alignment horizontal="center" wrapText="1"/>
    </xf>
    <xf numFmtId="0" fontId="2" fillId="0" borderId="0" xfId="0" applyFont="1" applyBorder="1" applyAlignment="1" applyProtection="1">
      <alignment horizontal="center" wrapText="1"/>
    </xf>
    <xf numFmtId="0" fontId="2" fillId="10" borderId="0" xfId="0" applyFont="1" applyFill="1" applyBorder="1" applyAlignment="1" applyProtection="1">
      <alignment horizontal="center" wrapText="1"/>
    </xf>
    <xf numFmtId="0" fontId="2" fillId="13" borderId="0" xfId="0" applyFont="1" applyFill="1" applyBorder="1" applyAlignment="1" applyProtection="1">
      <alignment horizontal="center" wrapText="1"/>
    </xf>
    <xf numFmtId="0" fontId="2" fillId="12" borderId="0" xfId="0" applyFont="1" applyFill="1" applyBorder="1" applyAlignment="1" applyProtection="1">
      <alignment horizontal="center" wrapText="1"/>
    </xf>
    <xf numFmtId="0" fontId="30" fillId="4" borderId="1" xfId="0" applyFont="1" applyFill="1" applyBorder="1" applyProtection="1">
      <protection locked="0"/>
    </xf>
    <xf numFmtId="0" fontId="2" fillId="10" borderId="2" xfId="0" applyFont="1" applyFill="1" applyBorder="1" applyAlignment="1">
      <alignment horizontal="center" wrapText="1"/>
    </xf>
    <xf numFmtId="0" fontId="2" fillId="10" borderId="4" xfId="0" applyFont="1" applyFill="1" applyBorder="1" applyAlignment="1">
      <alignment horizontal="center" wrapText="1"/>
    </xf>
    <xf numFmtId="0" fontId="2" fillId="10" borderId="5" xfId="0" applyFont="1" applyFill="1" applyBorder="1" applyAlignment="1">
      <alignment horizontal="center" wrapText="1"/>
    </xf>
  </cellXfs>
  <cellStyles count="7">
    <cellStyle name="Comma" xfId="1" builtinId="3"/>
    <cellStyle name="Comma 2" xfId="6"/>
    <cellStyle name="Currency" xfId="2" builtinId="4"/>
    <cellStyle name="Hyperlink" xfId="3" builtinId="8"/>
    <cellStyle name="Normal" xfId="0" builtinId="0"/>
    <cellStyle name="Normal 2" xfId="5"/>
    <cellStyle name="Percent" xfId="4" builtinId="5"/>
  </cellStyles>
  <dxfs count="5">
    <dxf>
      <fill>
        <patternFill>
          <bgColor rgb="FFFFFF00"/>
        </patternFill>
      </fill>
    </dxf>
    <dxf>
      <font>
        <b/>
        <i val="0"/>
        <condense val="0"/>
        <extend val="0"/>
        <color indexed="17"/>
      </font>
      <fill>
        <patternFill patternType="none">
          <bgColor indexed="65"/>
        </patternFill>
      </fill>
      <border>
        <left/>
        <right/>
        <top/>
        <bottom/>
      </border>
    </dxf>
    <dxf>
      <font>
        <b/>
        <i val="0"/>
        <condense val="0"/>
        <extend val="0"/>
        <color indexed="10"/>
      </font>
      <fill>
        <patternFill patternType="none">
          <bgColor indexed="65"/>
        </patternFill>
      </fill>
      <border>
        <left/>
        <right/>
        <top/>
        <bottom/>
      </border>
    </dxf>
    <dxf>
      <font>
        <b/>
        <i val="0"/>
        <condense val="0"/>
        <extend val="0"/>
        <color indexed="17"/>
      </font>
      <fill>
        <patternFill patternType="none">
          <bgColor indexed="65"/>
        </patternFill>
      </fill>
      <border>
        <left/>
        <right/>
        <top/>
        <bottom/>
      </border>
    </dxf>
    <dxf>
      <font>
        <b/>
        <i val="0"/>
        <condense val="0"/>
        <extend val="0"/>
        <color indexed="10"/>
      </font>
      <fill>
        <patternFill patternType="none">
          <bgColor indexed="65"/>
        </patternFill>
      </fill>
      <border>
        <left/>
        <right/>
        <top/>
        <bottom/>
      </border>
    </dxf>
  </dxfs>
  <tableStyles count="0" defaultTableStyle="TableStyleMedium9" defaultPivotStyle="PivotStyleLight16"/>
  <colors>
    <mruColors>
      <color rgb="FF006600"/>
      <color rgb="FF0000FF"/>
      <color rgb="FF008000"/>
      <color rgb="FFCFC587"/>
      <color rgb="FF800000"/>
      <color rgb="FFA50021"/>
      <color rgb="FF7C0B7F"/>
      <color rgb="FFFFFF99"/>
      <color rgb="FFB6EAC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D7053240-CE69-11CD-A777-00DD01143C57}"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73002323040753E-2"/>
          <c:y val="9.3979281050412034E-2"/>
          <c:w val="0.89154228378059952"/>
          <c:h val="0.43277729675769838"/>
        </c:manualLayout>
      </c:layout>
      <c:barChart>
        <c:barDir val="col"/>
        <c:grouping val="clustered"/>
        <c:varyColors val="0"/>
        <c:ser>
          <c:idx val="0"/>
          <c:order val="0"/>
          <c:tx>
            <c:strRef>
              <c:f>'Irrigation Analysis'!$I$10</c:f>
              <c:strCache>
                <c:ptCount val="1"/>
                <c:pt idx="0">
                  <c:v>ROVC (Irr. Land)</c:v>
                </c:pt>
              </c:strCache>
            </c:strRef>
          </c:tx>
          <c:spPr>
            <a:solidFill>
              <a:schemeClr val="bg1"/>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Analysis'!$I$11:$I$26</c:f>
              <c:numCache>
                <c:formatCode>"$"#,##0</c:formatCode>
                <c:ptCount val="16"/>
                <c:pt idx="0">
                  <c:v>16942.544461767971</c:v>
                </c:pt>
                <c:pt idx="1">
                  <c:v>2583.0353959440913</c:v>
                </c:pt>
                <c:pt idx="2">
                  <c:v>17957.09753845317</c:v>
                </c:pt>
                <c:pt idx="3">
                  <c:v>11869.466972083987</c:v>
                </c:pt>
                <c:pt idx="4">
                  <c:v>42354.562758644373</c:v>
                </c:pt>
                <c:pt idx="5">
                  <c:v>20343.000045505854</c:v>
                </c:pt>
                <c:pt idx="6">
                  <c:v>860.27785729808784</c:v>
                </c:pt>
                <c:pt idx="7">
                  <c:v>45994.04847027691</c:v>
                </c:pt>
                <c:pt idx="8">
                  <c:v>18731.755006348256</c:v>
                </c:pt>
                <c:pt idx="9">
                  <c:v>7898.639539874529</c:v>
                </c:pt>
                <c:pt idx="10">
                  <c:v>16406.593142400001</c:v>
                </c:pt>
                <c:pt idx="11">
                  <c:v>11175.227022000014</c:v>
                </c:pt>
                <c:pt idx="12">
                  <c:v>5534.9355934285813</c:v>
                </c:pt>
                <c:pt idx="13">
                  <c:v>251.10768924706235</c:v>
                </c:pt>
                <c:pt idx="14">
                  <c:v>-3442.5794805199948</c:v>
                </c:pt>
                <c:pt idx="15">
                  <c:v>0</c:v>
                </c:pt>
              </c:numCache>
            </c:numRef>
          </c:val>
        </c:ser>
        <c:ser>
          <c:idx val="5"/>
          <c:order val="1"/>
          <c:tx>
            <c:strRef>
              <c:f>'Irrigation Analysis'!$Q$10</c:f>
              <c:strCache>
                <c:ptCount val="1"/>
                <c:pt idx="0">
                  <c:v>With Dryland Canola</c:v>
                </c:pt>
              </c:strCache>
            </c:strRef>
          </c:tx>
          <c:spPr>
            <a:solidFill>
              <a:srgbClr val="0070C0"/>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Analysis'!$Q$11:$Q$26</c:f>
              <c:numCache>
                <c:formatCode>"$"#,##0</c:formatCode>
                <c:ptCount val="16"/>
                <c:pt idx="0">
                  <c:v>17145.067750541224</c:v>
                </c:pt>
                <c:pt idx="1">
                  <c:v>0</c:v>
                </c:pt>
                <c:pt idx="2">
                  <c:v>18086.249760397863</c:v>
                </c:pt>
                <c:pt idx="3">
                  <c:v>11998.593724105282</c:v>
                </c:pt>
                <c:pt idx="4">
                  <c:v>0</c:v>
                </c:pt>
                <c:pt idx="5">
                  <c:v>20413.438029754267</c:v>
                </c:pt>
                <c:pt idx="6">
                  <c:v>0</c:v>
                </c:pt>
                <c:pt idx="7">
                  <c:v>0</c:v>
                </c:pt>
                <c:pt idx="8">
                  <c:v>0</c:v>
                </c:pt>
                <c:pt idx="9">
                  <c:v>0</c:v>
                </c:pt>
                <c:pt idx="10">
                  <c:v>0</c:v>
                </c:pt>
                <c:pt idx="11">
                  <c:v>0</c:v>
                </c:pt>
                <c:pt idx="12">
                  <c:v>0</c:v>
                </c:pt>
                <c:pt idx="13">
                  <c:v>0</c:v>
                </c:pt>
                <c:pt idx="14">
                  <c:v>0</c:v>
                </c:pt>
                <c:pt idx="15">
                  <c:v>422.65063921638216</c:v>
                </c:pt>
              </c:numCache>
            </c:numRef>
          </c:val>
        </c:ser>
        <c:ser>
          <c:idx val="1"/>
          <c:order val="2"/>
          <c:tx>
            <c:strRef>
              <c:f>'Irrigation Analysis'!$R$10</c:f>
              <c:strCache>
                <c:ptCount val="1"/>
                <c:pt idx="0">
                  <c:v>With Dryland  Cotton</c:v>
                </c:pt>
              </c:strCache>
            </c:strRef>
          </c:tx>
          <c:spPr>
            <a:solidFill>
              <a:srgbClr val="C00000"/>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Analysis'!$R$11:$R$26</c:f>
              <c:numCache>
                <c:formatCode>"$"#,##0</c:formatCode>
                <c:ptCount val="16"/>
                <c:pt idx="0">
                  <c:v>18659.380517427617</c:v>
                </c:pt>
                <c:pt idx="1">
                  <c:v>0</c:v>
                </c:pt>
                <c:pt idx="2">
                  <c:v>19051.950345981182</c:v>
                </c:pt>
                <c:pt idx="3">
                  <c:v>12964.103865269075</c:v>
                </c:pt>
                <c:pt idx="4">
                  <c:v>0</c:v>
                </c:pt>
                <c:pt idx="5">
                  <c:v>20940.118884421485</c:v>
                </c:pt>
                <c:pt idx="6">
                  <c:v>0</c:v>
                </c:pt>
                <c:pt idx="7">
                  <c:v>0</c:v>
                </c:pt>
                <c:pt idx="8">
                  <c:v>0</c:v>
                </c:pt>
                <c:pt idx="9">
                  <c:v>0</c:v>
                </c:pt>
                <c:pt idx="10">
                  <c:v>0</c:v>
                </c:pt>
                <c:pt idx="11">
                  <c:v>0</c:v>
                </c:pt>
                <c:pt idx="12">
                  <c:v>0</c:v>
                </c:pt>
                <c:pt idx="13">
                  <c:v>0</c:v>
                </c:pt>
                <c:pt idx="14">
                  <c:v>0</c:v>
                </c:pt>
                <c:pt idx="15">
                  <c:v>3582.9057524672839</c:v>
                </c:pt>
              </c:numCache>
            </c:numRef>
          </c:val>
        </c:ser>
        <c:ser>
          <c:idx val="2"/>
          <c:order val="3"/>
          <c:tx>
            <c:strRef>
              <c:f>'Irrigation Analysis'!$S$10</c:f>
              <c:strCache>
                <c:ptCount val="1"/>
                <c:pt idx="0">
                  <c:v>With Dryland Sorghum</c:v>
                </c:pt>
              </c:strCache>
            </c:strRef>
          </c:tx>
          <c:spPr>
            <a:solidFill>
              <a:srgbClr val="00B050"/>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Analysis'!$S$11:$S$26</c:f>
              <c:numCache>
                <c:formatCode>"$"#,##0</c:formatCode>
                <c:ptCount val="16"/>
                <c:pt idx="0">
                  <c:v>16205.279239934478</c:v>
                </c:pt>
                <c:pt idx="1">
                  <c:v>0</c:v>
                </c:pt>
                <c:pt idx="2">
                  <c:v>17486.932145924169</c:v>
                </c:pt>
                <c:pt idx="3">
                  <c:v>11399.394300193864</c:v>
                </c:pt>
                <c:pt idx="4">
                  <c:v>0</c:v>
                </c:pt>
                <c:pt idx="5">
                  <c:v>20086.57780193587</c:v>
                </c:pt>
                <c:pt idx="6">
                  <c:v>0</c:v>
                </c:pt>
                <c:pt idx="7">
                  <c:v>0</c:v>
                </c:pt>
                <c:pt idx="8">
                  <c:v>0</c:v>
                </c:pt>
                <c:pt idx="9">
                  <c:v>0</c:v>
                </c:pt>
                <c:pt idx="10">
                  <c:v>0</c:v>
                </c:pt>
                <c:pt idx="11">
                  <c:v>0</c:v>
                </c:pt>
                <c:pt idx="12">
                  <c:v>0</c:v>
                </c:pt>
                <c:pt idx="13">
                  <c:v>0</c:v>
                </c:pt>
                <c:pt idx="14">
                  <c:v>0</c:v>
                </c:pt>
                <c:pt idx="15">
                  <c:v>-1538.616221213008</c:v>
                </c:pt>
              </c:numCache>
            </c:numRef>
          </c:val>
        </c:ser>
        <c:ser>
          <c:idx val="6"/>
          <c:order val="4"/>
          <c:tx>
            <c:strRef>
              <c:f>'Irrigation Analysis'!$T$10</c:f>
              <c:strCache>
                <c:ptCount val="1"/>
                <c:pt idx="0">
                  <c:v>With Dryland Sorg. Sundangrass</c:v>
                </c:pt>
              </c:strCache>
            </c:strRef>
          </c:tx>
          <c:spPr>
            <a:solidFill>
              <a:srgbClr val="FF9900"/>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Analysis'!$T$11:$T$26</c:f>
              <c:numCache>
                <c:formatCode>"$"#,##0</c:formatCode>
                <c:ptCount val="16"/>
                <c:pt idx="0">
                  <c:v>18351.624124546124</c:v>
                </c:pt>
                <c:pt idx="1">
                  <c:v>0</c:v>
                </c:pt>
                <c:pt idx="2">
                  <c:v>18855.689352003203</c:v>
                </c:pt>
                <c:pt idx="3">
                  <c:v>12767.881575638625</c:v>
                </c:pt>
                <c:pt idx="4">
                  <c:v>0</c:v>
                </c:pt>
                <c:pt idx="5">
                  <c:v>20833.080626819388</c:v>
                </c:pt>
                <c:pt idx="6">
                  <c:v>0</c:v>
                </c:pt>
                <c:pt idx="7">
                  <c:v>0</c:v>
                </c:pt>
                <c:pt idx="8">
                  <c:v>0</c:v>
                </c:pt>
                <c:pt idx="9">
                  <c:v>0</c:v>
                </c:pt>
                <c:pt idx="10">
                  <c:v>0</c:v>
                </c:pt>
                <c:pt idx="11">
                  <c:v>0</c:v>
                </c:pt>
                <c:pt idx="12">
                  <c:v>0</c:v>
                </c:pt>
                <c:pt idx="13">
                  <c:v>0</c:v>
                </c:pt>
                <c:pt idx="14">
                  <c:v>0</c:v>
                </c:pt>
                <c:pt idx="15">
                  <c:v>2940.6416604599576</c:v>
                </c:pt>
              </c:numCache>
            </c:numRef>
          </c:val>
        </c:ser>
        <c:ser>
          <c:idx val="4"/>
          <c:order val="5"/>
          <c:tx>
            <c:strRef>
              <c:f>'Irrigation Analysis'!$U$10</c:f>
              <c:strCache>
                <c:ptCount val="1"/>
                <c:pt idx="0">
                  <c:v>With Dryland Sunfl.-Oils.</c:v>
                </c:pt>
              </c:strCache>
            </c:strRef>
          </c:tx>
          <c:spPr>
            <a:solidFill>
              <a:srgbClr val="0000FF"/>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Analysis'!$U$11:$U$26</c:f>
              <c:numCache>
                <c:formatCode>"$"#,##0</c:formatCode>
                <c:ptCount val="16"/>
                <c:pt idx="0">
                  <c:v>17680.674953665792</c:v>
                </c:pt>
                <c:pt idx="1">
                  <c:v>0</c:v>
                </c:pt>
                <c:pt idx="2">
                  <c:v>18427.814727035195</c:v>
                </c:pt>
                <c:pt idx="3">
                  <c:v>12340.091331208228</c:v>
                </c:pt>
                <c:pt idx="4">
                  <c:v>0</c:v>
                </c:pt>
                <c:pt idx="5">
                  <c:v>20599.723231646596</c:v>
                </c:pt>
                <c:pt idx="6">
                  <c:v>0</c:v>
                </c:pt>
                <c:pt idx="7">
                  <c:v>0</c:v>
                </c:pt>
                <c:pt idx="8">
                  <c:v>0</c:v>
                </c:pt>
                <c:pt idx="9">
                  <c:v>0</c:v>
                </c:pt>
                <c:pt idx="10">
                  <c:v>0</c:v>
                </c:pt>
                <c:pt idx="11">
                  <c:v>0</c:v>
                </c:pt>
                <c:pt idx="12">
                  <c:v>0</c:v>
                </c:pt>
                <c:pt idx="13">
                  <c:v>0</c:v>
                </c:pt>
                <c:pt idx="14">
                  <c:v>0</c:v>
                </c:pt>
                <c:pt idx="15">
                  <c:v>1540.4219737661981</c:v>
                </c:pt>
              </c:numCache>
            </c:numRef>
          </c:val>
        </c:ser>
        <c:ser>
          <c:idx val="3"/>
          <c:order val="6"/>
          <c:tx>
            <c:strRef>
              <c:f>'Irrigation Analysis'!$V$10</c:f>
              <c:strCache>
                <c:ptCount val="1"/>
                <c:pt idx="0">
                  <c:v>With Dryland  Wheat</c:v>
                </c:pt>
              </c:strCache>
            </c:strRef>
          </c:tx>
          <c:spPr>
            <a:solidFill>
              <a:srgbClr val="FFFF99"/>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Analysis'!$V$11:$V$26</c:f>
              <c:numCache>
                <c:formatCode>"$"#,##0</c:formatCode>
                <c:ptCount val="16"/>
                <c:pt idx="0">
                  <c:v>16732.510279586772</c:v>
                </c:pt>
                <c:pt idx="1">
                  <c:v>0</c:v>
                </c:pt>
                <c:pt idx="2">
                  <c:v>17823.155504046405</c:v>
                </c:pt>
                <c:pt idx="3">
                  <c:v>11735.551352192624</c:v>
                </c:pt>
                <c:pt idx="4">
                  <c:v>0</c:v>
                </c:pt>
                <c:pt idx="5">
                  <c:v>20269.949758273597</c:v>
                </c:pt>
                <c:pt idx="6">
                  <c:v>0</c:v>
                </c:pt>
                <c:pt idx="7">
                  <c:v>0</c:v>
                </c:pt>
                <c:pt idx="8">
                  <c:v>0</c:v>
                </c:pt>
                <c:pt idx="9">
                  <c:v>0</c:v>
                </c:pt>
                <c:pt idx="10">
                  <c:v>0</c:v>
                </c:pt>
                <c:pt idx="11">
                  <c:v>0</c:v>
                </c:pt>
                <c:pt idx="12">
                  <c:v>0</c:v>
                </c:pt>
                <c:pt idx="13">
                  <c:v>0</c:v>
                </c:pt>
                <c:pt idx="14">
                  <c:v>0</c:v>
                </c:pt>
                <c:pt idx="15">
                  <c:v>-438.32530023529216</c:v>
                </c:pt>
              </c:numCache>
            </c:numRef>
          </c:val>
        </c:ser>
        <c:ser>
          <c:idx val="7"/>
          <c:order val="7"/>
          <c:tx>
            <c:strRef>
              <c:f>'Irrigation Analysis'!$W$10</c:f>
              <c:strCache>
                <c:ptCount val="1"/>
                <c:pt idx="0">
                  <c:v>With Dryland Other Crop</c:v>
                </c:pt>
              </c:strCache>
            </c:strRef>
          </c:tx>
          <c:spPr>
            <a:solidFill>
              <a:schemeClr val="tx1">
                <a:lumMod val="95000"/>
                <a:lumOff val="5000"/>
              </a:schemeClr>
            </a:solidFill>
            <a:ln>
              <a:solidFill>
                <a:schemeClr val="tx1"/>
              </a:solidFill>
            </a:ln>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Analysis'!$W$11:$W$26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00103296"/>
        <c:axId val="100104832"/>
      </c:barChart>
      <c:catAx>
        <c:axId val="100103296"/>
        <c:scaling>
          <c:orientation val="minMax"/>
        </c:scaling>
        <c:delete val="0"/>
        <c:axPos val="b"/>
        <c:numFmt formatCode="General" sourceLinked="1"/>
        <c:majorTickMark val="out"/>
        <c:minorTickMark val="none"/>
        <c:tickLblPos val="nextTo"/>
        <c:txPr>
          <a:bodyPr/>
          <a:lstStyle/>
          <a:p>
            <a:pPr>
              <a:defRPr sz="1400"/>
            </a:pPr>
            <a:endParaRPr lang="en-US"/>
          </a:p>
        </c:txPr>
        <c:crossAx val="100104832"/>
        <c:crosses val="autoZero"/>
        <c:auto val="1"/>
        <c:lblAlgn val="ctr"/>
        <c:lblOffset val="100"/>
        <c:noMultiLvlLbl val="0"/>
      </c:catAx>
      <c:valAx>
        <c:axId val="100104832"/>
        <c:scaling>
          <c:orientation val="minMax"/>
        </c:scaling>
        <c:delete val="0"/>
        <c:axPos val="l"/>
        <c:majorGridlines>
          <c:spPr>
            <a:ln>
              <a:solidFill>
                <a:schemeClr val="bg1"/>
              </a:solidFill>
            </a:ln>
          </c:spPr>
        </c:majorGridlines>
        <c:title>
          <c:tx>
            <c:rich>
              <a:bodyPr rot="-5400000" vert="horz"/>
              <a:lstStyle/>
              <a:p>
                <a:pPr>
                  <a:defRPr sz="1400"/>
                </a:pPr>
                <a:r>
                  <a:rPr lang="en-US" sz="1400"/>
                  <a:t>Total</a:t>
                </a:r>
                <a:r>
                  <a:rPr lang="en-US" sz="1400" baseline="0"/>
                  <a:t> ROVC</a:t>
                </a:r>
                <a:endParaRPr lang="en-US" sz="1400"/>
              </a:p>
            </c:rich>
          </c:tx>
          <c:overlay val="0"/>
        </c:title>
        <c:numFmt formatCode="&quot;$&quot;#,##0" sourceLinked="0"/>
        <c:majorTickMark val="out"/>
        <c:minorTickMark val="none"/>
        <c:tickLblPos val="nextTo"/>
        <c:spPr>
          <a:ln>
            <a:solidFill>
              <a:schemeClr val="bg1">
                <a:lumMod val="50000"/>
              </a:schemeClr>
            </a:solidFill>
          </a:ln>
        </c:spPr>
        <c:txPr>
          <a:bodyPr/>
          <a:lstStyle/>
          <a:p>
            <a:pPr>
              <a:defRPr sz="1400"/>
            </a:pPr>
            <a:endParaRPr lang="en-US"/>
          </a:p>
        </c:txPr>
        <c:crossAx val="100103296"/>
        <c:crosses val="autoZero"/>
        <c:crossBetween val="between"/>
      </c:valAx>
      <c:spPr>
        <a:solidFill>
          <a:schemeClr val="bg1">
            <a:lumMod val="50000"/>
          </a:schemeClr>
        </a:solidFill>
        <a:ln w="25400" cap="flat" cmpd="sng" algn="ctr">
          <a:solidFill>
            <a:schemeClr val="bg1"/>
          </a:solidFill>
          <a:prstDash val="solid"/>
        </a:ln>
        <a:effectLst/>
      </c:spPr>
    </c:plotArea>
    <c:legend>
      <c:legendPos val="b"/>
      <c:layout>
        <c:manualLayout>
          <c:xMode val="edge"/>
          <c:yMode val="edge"/>
          <c:x val="0.16189933277087531"/>
          <c:y val="0.88484583023499919"/>
          <c:w val="0.68839451767203153"/>
          <c:h val="0.10221755915698119"/>
        </c:manualLayout>
      </c:layout>
      <c:overlay val="0"/>
    </c:legend>
    <c:plotVisOnly val="1"/>
    <c:dispBlanksAs val="gap"/>
    <c:showDLblsOverMax val="0"/>
  </c:chart>
  <c:spPr>
    <a:solidFill>
      <a:schemeClr val="bg1">
        <a:lumMod val="65000"/>
      </a:schemeClr>
    </a:solidFill>
    <a:ln>
      <a:solidFill>
        <a:schemeClr val="tx1"/>
      </a:solidFill>
    </a:ln>
  </c:spPr>
  <c:txPr>
    <a:bodyPr/>
    <a:lstStyle/>
    <a:p>
      <a:pPr>
        <a:defRPr sz="1200" baseline="0">
          <a:solidFill>
            <a:sysClr val="windowText" lastClr="000000"/>
          </a:solidFill>
        </a:defRPr>
      </a:pPr>
      <a:endParaRPr lang="en-US"/>
    </a:p>
  </c:txPr>
  <c:printSettings>
    <c:headerFooter/>
    <c:pageMargins b="0.750000000000002" l="0.70000000000000062" r="0.70000000000000062" t="0.75000000000000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600"/>
            </a:pPr>
            <a:r>
              <a:rPr lang="en-US" sz="1600"/>
              <a:t>Figure 1.  Return Over Variable Costs per Acre-Inch of Water Applied</a:t>
            </a:r>
          </a:p>
        </c:rich>
      </c:tx>
      <c:overlay val="0"/>
    </c:title>
    <c:autoTitleDeleted val="0"/>
    <c:plotArea>
      <c:layout>
        <c:manualLayout>
          <c:layoutTarget val="inner"/>
          <c:xMode val="edge"/>
          <c:yMode val="edge"/>
          <c:x val="7.1614836824642286E-2"/>
          <c:y val="0.10250471398656411"/>
          <c:w val="0.90053242212647944"/>
          <c:h val="0.49846954148781986"/>
        </c:manualLayout>
      </c:layout>
      <c:barChart>
        <c:barDir val="col"/>
        <c:grouping val="clustered"/>
        <c:varyColors val="0"/>
        <c:ser>
          <c:idx val="4"/>
          <c:order val="0"/>
          <c:tx>
            <c:strRef>
              <c:f>'Irrigation Analysis'!$H$10</c:f>
              <c:strCache>
                <c:ptCount val="1"/>
                <c:pt idx="0">
                  <c:v>ROVC/       Ac-In</c:v>
                </c:pt>
              </c:strCache>
            </c:strRef>
          </c:tx>
          <c:spPr>
            <a:solidFill>
              <a:srgbClr val="800000"/>
            </a:solidFill>
          </c:spPr>
          <c:invertIfNegative val="0"/>
          <c:cat>
            <c:strRef>
              <c:f>'Irrigation Analysis'!$A$11:$A$26</c:f>
              <c:strCache>
                <c:ptCount val="16"/>
                <c:pt idx="0">
                  <c:v>Irrigated Alfalfa </c:v>
                </c:pt>
                <c:pt idx="1">
                  <c:v>Irrigated Canola</c:v>
                </c:pt>
                <c:pt idx="2">
                  <c:v>Irrigated Corn</c:v>
                </c:pt>
                <c:pt idx="3">
                  <c:v>Irrigated Corn Silage</c:v>
                </c:pt>
                <c:pt idx="4">
                  <c:v>Irrigated Cotton</c:v>
                </c:pt>
                <c:pt idx="5">
                  <c:v>Irrigated Peanuts</c:v>
                </c:pt>
                <c:pt idx="6">
                  <c:v>Irrigated Sorghum</c:v>
                </c:pt>
                <c:pt idx="7">
                  <c:v>Irrigated Sorghum Seed </c:v>
                </c:pt>
                <c:pt idx="8">
                  <c:v>Irrigated Sorghum Silage</c:v>
                </c:pt>
                <c:pt idx="9">
                  <c:v>Irrigated Sorghum Sudangrass</c:v>
                </c:pt>
                <c:pt idx="10">
                  <c:v>Irrigated Soybeans</c:v>
                </c:pt>
                <c:pt idx="11">
                  <c:v>Irrigated Sunflowers-Confectionary </c:v>
                </c:pt>
                <c:pt idx="12">
                  <c:v>Irrigated Sunflowers-Oilseed </c:v>
                </c:pt>
                <c:pt idx="13">
                  <c:v>Irrigated Triticale Silage</c:v>
                </c:pt>
                <c:pt idx="14">
                  <c:v>Irrigated Wheat</c:v>
                </c:pt>
                <c:pt idx="15">
                  <c:v>Irrigated Other Crop</c:v>
                </c:pt>
              </c:strCache>
            </c:strRef>
          </c:cat>
          <c:val>
            <c:numRef>
              <c:f>'Irrigation Analysis'!$H$11:$H$26</c:f>
              <c:numCache>
                <c:formatCode>"$"#,##0.00</c:formatCode>
                <c:ptCount val="16"/>
                <c:pt idx="0">
                  <c:v>11.29519336619731</c:v>
                </c:pt>
                <c:pt idx="1">
                  <c:v>2.1525294966200761</c:v>
                </c:pt>
                <c:pt idx="2">
                  <c:v>9.7950798627931484</c:v>
                </c:pt>
                <c:pt idx="3">
                  <c:v>7.1212798766964509</c:v>
                </c:pt>
                <c:pt idx="4">
                  <c:v>29.412890804614147</c:v>
                </c:pt>
                <c:pt idx="5">
                  <c:v>9.6870386686389178</c:v>
                </c:pt>
                <c:pt idx="6">
                  <c:v>0.71689821441507318</c:v>
                </c:pt>
                <c:pt idx="7">
                  <c:v>23.955233578269223</c:v>
                </c:pt>
                <c:pt idx="8">
                  <c:v>12.007535260479651</c:v>
                </c:pt>
                <c:pt idx="9">
                  <c:v>7.3135551295134524</c:v>
                </c:pt>
                <c:pt idx="10">
                  <c:v>9.7658292514285723</c:v>
                </c:pt>
                <c:pt idx="11">
                  <c:v>13.303841692857159</c:v>
                </c:pt>
                <c:pt idx="12">
                  <c:v>6.5892090397959304</c:v>
                </c:pt>
                <c:pt idx="13">
                  <c:v>4.315454891851625E-2</c:v>
                </c:pt>
                <c:pt idx="14">
                  <c:v>-2.8688162337666627</c:v>
                </c:pt>
                <c:pt idx="15">
                  <c:v>0</c:v>
                </c:pt>
              </c:numCache>
            </c:numRef>
          </c:val>
        </c:ser>
        <c:dLbls>
          <c:showLegendKey val="0"/>
          <c:showVal val="0"/>
          <c:showCatName val="0"/>
          <c:showSerName val="0"/>
          <c:showPercent val="0"/>
          <c:showBubbleSize val="0"/>
        </c:dLbls>
        <c:gapWidth val="150"/>
        <c:axId val="100129792"/>
        <c:axId val="101126912"/>
      </c:barChart>
      <c:catAx>
        <c:axId val="100129792"/>
        <c:scaling>
          <c:orientation val="minMax"/>
        </c:scaling>
        <c:delete val="0"/>
        <c:axPos val="b"/>
        <c:numFmt formatCode="General" sourceLinked="0"/>
        <c:majorTickMark val="out"/>
        <c:minorTickMark val="none"/>
        <c:tickLblPos val="nextTo"/>
        <c:crossAx val="101126912"/>
        <c:crosses val="autoZero"/>
        <c:auto val="1"/>
        <c:lblAlgn val="ctr"/>
        <c:lblOffset val="100"/>
        <c:noMultiLvlLbl val="0"/>
      </c:catAx>
      <c:valAx>
        <c:axId val="101126912"/>
        <c:scaling>
          <c:orientation val="minMax"/>
        </c:scaling>
        <c:delete val="0"/>
        <c:axPos val="l"/>
        <c:majorGridlines>
          <c:spPr>
            <a:ln>
              <a:solidFill>
                <a:schemeClr val="bg1"/>
              </a:solidFill>
            </a:ln>
          </c:spPr>
        </c:majorGridlines>
        <c:title>
          <c:tx>
            <c:rich>
              <a:bodyPr rot="-5400000" vert="horz"/>
              <a:lstStyle/>
              <a:p>
                <a:pPr>
                  <a:defRPr/>
                </a:pPr>
                <a:r>
                  <a:rPr lang="en-US"/>
                  <a:t>ROVC / Acre-Inch Applied</a:t>
                </a:r>
              </a:p>
            </c:rich>
          </c:tx>
          <c:overlay val="0"/>
        </c:title>
        <c:numFmt formatCode="&quot;$&quot;#,##0" sourceLinked="0"/>
        <c:majorTickMark val="out"/>
        <c:minorTickMark val="none"/>
        <c:tickLblPos val="nextTo"/>
        <c:crossAx val="100129792"/>
        <c:crosses val="autoZero"/>
        <c:crossBetween val="between"/>
      </c:valAx>
      <c:spPr>
        <a:solidFill>
          <a:schemeClr val="bg1">
            <a:lumMod val="85000"/>
          </a:schemeClr>
        </a:solidFill>
        <a:ln w="25400">
          <a:solidFill>
            <a:schemeClr val="bg1"/>
          </a:solidFill>
        </a:ln>
      </c:spPr>
    </c:plotArea>
    <c:plotVisOnly val="1"/>
    <c:dispBlanksAs val="gap"/>
    <c:showDLblsOverMax val="0"/>
  </c:chart>
  <c:spPr>
    <a:solidFill>
      <a:schemeClr val="bg1">
        <a:lumMod val="65000"/>
      </a:schemeClr>
    </a:solidFill>
    <a:ln>
      <a:solidFill>
        <a:schemeClr val="tx1"/>
      </a:solidFill>
    </a:ln>
  </c:spPr>
  <c:txPr>
    <a:bodyPr/>
    <a:lstStyle/>
    <a:p>
      <a:pPr>
        <a:defRPr sz="1400">
          <a:solidFill>
            <a:sysClr val="windowText" lastClr="000000"/>
          </a:solidFill>
        </a:defRPr>
      </a:pPr>
      <a:endParaRPr lang="en-US"/>
    </a:p>
  </c:txPr>
  <c:printSettings>
    <c:headerFooter/>
    <c:pageMargins b="0.75000000000000089" l="0.70000000000000062" r="0.70000000000000062" t="0.7500000000000008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farmassistance.tamu.edu/" TargetMode="External"/><Relationship Id="rId3" Type="http://schemas.openxmlformats.org/officeDocument/2006/relationships/hyperlink" Target="#'Break-Even Comparison'!A1"/><Relationship Id="rId7" Type="http://schemas.openxmlformats.org/officeDocument/2006/relationships/image" Target="../media/image1.jpeg"/><Relationship Id="rId12" Type="http://schemas.openxmlformats.org/officeDocument/2006/relationships/hyperlink" Target="mailto:dljones@ag.tamu.edu" TargetMode="External"/><Relationship Id="rId2" Type="http://schemas.openxmlformats.org/officeDocument/2006/relationships/hyperlink" Target="#Alfalfa_Price"/><Relationship Id="rId1" Type="http://schemas.openxmlformats.org/officeDocument/2006/relationships/hyperlink" Target="#Menu!A1"/><Relationship Id="rId6" Type="http://schemas.openxmlformats.org/officeDocument/2006/relationships/hyperlink" Target="http://agrilifeextension.tamu.edu/" TargetMode="External"/><Relationship Id="rId11" Type="http://schemas.openxmlformats.org/officeDocument/2006/relationships/image" Target="../media/image3.png"/><Relationship Id="rId5" Type="http://schemas.openxmlformats.org/officeDocument/2006/relationships/hyperlink" Target="#'Irrigation Analysis'!A1"/><Relationship Id="rId10" Type="http://schemas.openxmlformats.org/officeDocument/2006/relationships/hyperlink" Target="http://www.texascorn.org/" TargetMode="External"/><Relationship Id="rId4" Type="http://schemas.openxmlformats.org/officeDocument/2006/relationships/hyperlink" Target="#'Comparative Returns'!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Sorghum_Price"/><Relationship Id="rId4" Type="http://schemas.openxmlformats.org/officeDocument/2006/relationships/image" Target="../media/image34.png"/></Relationships>
</file>

<file path=xl/drawings/_rels/drawing11.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Sorghum_Seed_Price"/><Relationship Id="rId4" Type="http://schemas.openxmlformats.org/officeDocument/2006/relationships/image" Target="../media/image34.png"/></Relationships>
</file>

<file path=xl/drawings/_rels/drawing12.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Sorghum_Silage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13.xml.rels><?xml version="1.0" encoding="UTF-8" standalone="yes"?>
<Relationships xmlns="http://schemas.openxmlformats.org/package/2006/relationships"><Relationship Id="rId8" Type="http://schemas.openxmlformats.org/officeDocument/2006/relationships/hyperlink" Target="#Grazing_Price"/><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Wheat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 Id="rId9" Type="http://schemas.openxmlformats.org/officeDocument/2006/relationships/hyperlink" Target="#'Irrigation Analysis'!A1"/></Relationships>
</file>

<file path=xl/drawings/_rels/drawing14.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Soybean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15.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Sunflower_Conf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16.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Sunflower_Oil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17.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Sorghum_Silage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18.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Wheat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19.xml.rels><?xml version="1.0" encoding="UTF-8" standalone="yes"?>
<Relationships xmlns="http://schemas.openxmlformats.org/package/2006/relationships"><Relationship Id="rId8" Type="http://schemas.openxmlformats.org/officeDocument/2006/relationships/hyperlink" Target="#Irr_Other_Price"/><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Wheat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 Id="rId9" Type="http://schemas.openxmlformats.org/officeDocument/2006/relationships/hyperlink" Target="#'Irrigation Analysis'!A1"/></Relationships>
</file>

<file path=xl/drawings/_rels/drawing2.xml.rels><?xml version="1.0" encoding="UTF-8" standalone="yes"?>
<Relationships xmlns="http://schemas.openxmlformats.org/package/2006/relationships"><Relationship Id="rId3" Type="http://schemas.openxmlformats.org/officeDocument/2006/relationships/image" Target="../media/image32.png"/><Relationship Id="rId7" Type="http://schemas.openxmlformats.org/officeDocument/2006/relationships/hyperlink" Target="#'Irrigation Analysis'!A1"/><Relationship Id="rId2" Type="http://schemas.openxmlformats.org/officeDocument/2006/relationships/hyperlink" Target="#Instructions!A1"/><Relationship Id="rId1" Type="http://schemas.openxmlformats.org/officeDocument/2006/relationships/image" Target="../media/image1.jpeg"/><Relationship Id="rId6" Type="http://schemas.openxmlformats.org/officeDocument/2006/relationships/hyperlink" Target="#'Comparative Returns'!A1"/><Relationship Id="rId5" Type="http://schemas.openxmlformats.org/officeDocument/2006/relationships/hyperlink" Target="#'Break-Even Comparison'!A1"/><Relationship Id="rId4" Type="http://schemas.openxmlformats.org/officeDocument/2006/relationships/hyperlink" Target="#Alfalfa_Price"/></Relationships>
</file>

<file path=xl/drawings/_rels/drawing20.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Canola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21.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Cotton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22.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Sorghum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23.xml.rels><?xml version="1.0" encoding="UTF-8" standalone="yes"?>
<Relationships xmlns="http://schemas.openxmlformats.org/package/2006/relationships"><Relationship Id="rId8" Type="http://schemas.openxmlformats.org/officeDocument/2006/relationships/hyperlink" Target="#Alfalfa_Price"/><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Wheat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 Id="rId9" Type="http://schemas.openxmlformats.org/officeDocument/2006/relationships/hyperlink" Target="#'Irrigation Analysis'!A1"/></Relationships>
</file>

<file path=xl/drawings/_rels/drawing24.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Sunflower_Oil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25.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Wheat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s>
</file>

<file path=xl/drawings/_rels/drawing26.xml.rels><?xml version="1.0" encoding="UTF-8" standalone="yes"?>
<Relationships xmlns="http://schemas.openxmlformats.org/package/2006/relationships"><Relationship Id="rId8" Type="http://schemas.openxmlformats.org/officeDocument/2006/relationships/hyperlink" Target="#Dry_Other_Price"/><Relationship Id="rId3" Type="http://schemas.openxmlformats.org/officeDocument/2006/relationships/hyperlink" Target="#Instructions!A1"/><Relationship Id="rId7" Type="http://schemas.openxmlformats.org/officeDocument/2006/relationships/image" Target="../media/image34.png"/><Relationship Id="rId2" Type="http://schemas.openxmlformats.org/officeDocument/2006/relationships/hyperlink" Target="#Wheat_Price"/><Relationship Id="rId1" Type="http://schemas.openxmlformats.org/officeDocument/2006/relationships/hyperlink" Target="#Menu!A1"/><Relationship Id="rId6" Type="http://schemas.openxmlformats.org/officeDocument/2006/relationships/image" Target="../media/image1.jpeg"/><Relationship Id="rId5" Type="http://schemas.openxmlformats.org/officeDocument/2006/relationships/hyperlink" Target="#'Comparative Returns'!A1"/><Relationship Id="rId4" Type="http://schemas.openxmlformats.org/officeDocument/2006/relationships/hyperlink" Target="#'Break-Even Comparison'!A1"/><Relationship Id="rId9" Type="http://schemas.openxmlformats.org/officeDocument/2006/relationships/hyperlink" Target="#'Irrigation Analysis'!A1"/></Relationships>
</file>

<file path=xl/drawings/_rels/drawing27.xml.rels><?xml version="1.0" encoding="UTF-8" standalone="yes"?>
<Relationships xmlns="http://schemas.openxmlformats.org/package/2006/relationships"><Relationship Id="rId3" Type="http://schemas.openxmlformats.org/officeDocument/2006/relationships/hyperlink" Target="#Menu!A1"/><Relationship Id="rId7" Type="http://schemas.openxmlformats.org/officeDocument/2006/relationships/hyperlink" Target="#'Irrigation Analysis'!A1"/><Relationship Id="rId2" Type="http://schemas.openxmlformats.org/officeDocument/2006/relationships/image" Target="../media/image1.jpeg"/><Relationship Id="rId1" Type="http://schemas.openxmlformats.org/officeDocument/2006/relationships/hyperlink" Target="#Instructions!A1"/><Relationship Id="rId6" Type="http://schemas.openxmlformats.org/officeDocument/2006/relationships/hyperlink" Target="#'Comparative Returns'!A1"/><Relationship Id="rId5" Type="http://schemas.openxmlformats.org/officeDocument/2006/relationships/hyperlink" Target="#Alfalfa_Price"/><Relationship Id="rId4" Type="http://schemas.openxmlformats.org/officeDocument/2006/relationships/image" Target="../media/image35.png"/></Relationships>
</file>

<file path=xl/drawings/_rels/drawing28.xml.rels><?xml version="1.0" encoding="UTF-8" standalone="yes"?>
<Relationships xmlns="http://schemas.openxmlformats.org/package/2006/relationships"><Relationship Id="rId3" Type="http://schemas.openxmlformats.org/officeDocument/2006/relationships/hyperlink" Target="#Instructions!A1"/><Relationship Id="rId7" Type="http://schemas.openxmlformats.org/officeDocument/2006/relationships/hyperlink" Target="#'Irrigation Analysis'!A1"/><Relationship Id="rId2" Type="http://schemas.openxmlformats.org/officeDocument/2006/relationships/hyperlink" Target="#Alfalfa_Price"/><Relationship Id="rId1" Type="http://schemas.openxmlformats.org/officeDocument/2006/relationships/hyperlink" Target="#Menu!A1"/><Relationship Id="rId6" Type="http://schemas.openxmlformats.org/officeDocument/2006/relationships/image" Target="../media/image34.png"/><Relationship Id="rId5" Type="http://schemas.openxmlformats.org/officeDocument/2006/relationships/image" Target="../media/image1.jpeg"/><Relationship Id="rId4" Type="http://schemas.openxmlformats.org/officeDocument/2006/relationships/hyperlink" Target="#'Break-Even Comparison'!A1"/></Relationships>
</file>

<file path=xl/drawings/_rels/drawing29.xml.rels><?xml version="1.0" encoding="UTF-8" standalone="yes"?>
<Relationships xmlns="http://schemas.openxmlformats.org/package/2006/relationships"><Relationship Id="rId8" Type="http://schemas.openxmlformats.org/officeDocument/2006/relationships/hyperlink" Target="#FIGURE1"/><Relationship Id="rId3" Type="http://schemas.openxmlformats.org/officeDocument/2006/relationships/image" Target="../media/image34.png"/><Relationship Id="rId7" Type="http://schemas.openxmlformats.org/officeDocument/2006/relationships/image" Target="../media/image1.jpeg"/><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hyperlink" Target="#'Comparative Returns'!A1"/><Relationship Id="rId5" Type="http://schemas.openxmlformats.org/officeDocument/2006/relationships/hyperlink" Target="#'Break-Even Comparison'!A1"/><Relationship Id="rId4" Type="http://schemas.openxmlformats.org/officeDocument/2006/relationships/hyperlink" Target="#Alfalfa_Price"/><Relationship Id="rId9" Type="http://schemas.openxmlformats.org/officeDocument/2006/relationships/hyperlink" Target="#FIGURE2"/></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7" Type="http://schemas.openxmlformats.org/officeDocument/2006/relationships/hyperlink" Target="#'Irrigation Analysi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Comparative Returns'!A1"/><Relationship Id="rId5" Type="http://schemas.openxmlformats.org/officeDocument/2006/relationships/hyperlink" Target="#'Break-Even Comparison'!A1"/><Relationship Id="rId4" Type="http://schemas.openxmlformats.org/officeDocument/2006/relationships/image" Target="../media/image33.png"/></Relationships>
</file>

<file path=xl/drawings/_rels/drawing30.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hyperlink" Target="#'Break-Even Comparison'!A1"/><Relationship Id="rId5" Type="http://schemas.openxmlformats.org/officeDocument/2006/relationships/hyperlink" Target="#Alfalfa_Price"/><Relationship Id="rId10" Type="http://schemas.openxmlformats.org/officeDocument/2006/relationships/chart" Target="../charts/chart2.xml"/><Relationship Id="rId4" Type="http://schemas.openxmlformats.org/officeDocument/2006/relationships/image" Target="../media/image34.png"/><Relationship Id="rId9"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Alfalfa_Price"/><Relationship Id="rId4" Type="http://schemas.openxmlformats.org/officeDocument/2006/relationships/image" Target="../media/image34.png"/></Relationships>
</file>

<file path=xl/drawings/_rels/drawing5.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Canola_Price"/><Relationship Id="rId4" Type="http://schemas.openxmlformats.org/officeDocument/2006/relationships/image" Target="../media/image34.png"/></Relationships>
</file>

<file path=xl/drawings/_rels/drawing6.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Corn_Price"/><Relationship Id="rId4" Type="http://schemas.openxmlformats.org/officeDocument/2006/relationships/image" Target="../media/image34.png"/></Relationships>
</file>

<file path=xl/drawings/_rels/drawing7.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Corn_Silage_Price"/><Relationship Id="rId4" Type="http://schemas.openxmlformats.org/officeDocument/2006/relationships/image" Target="../media/image34.png"/></Relationships>
</file>

<file path=xl/drawings/_rels/drawing8.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Cotton_Price"/><Relationship Id="rId4" Type="http://schemas.openxmlformats.org/officeDocument/2006/relationships/image" Target="../media/image34.png"/></Relationships>
</file>

<file path=xl/drawings/_rels/drawing9.xml.rels><?xml version="1.0" encoding="UTF-8" standalone="yes"?>
<Relationships xmlns="http://schemas.openxmlformats.org/package/2006/relationships"><Relationship Id="rId8" Type="http://schemas.openxmlformats.org/officeDocument/2006/relationships/hyperlink" Target="#'Irrigation Analysis'!A1"/><Relationship Id="rId3" Type="http://schemas.openxmlformats.org/officeDocument/2006/relationships/hyperlink" Target="#Instructions!A1"/><Relationship Id="rId7" Type="http://schemas.openxmlformats.org/officeDocument/2006/relationships/hyperlink" Target="#'Comparative Returns'!A1"/><Relationship Id="rId2" Type="http://schemas.openxmlformats.org/officeDocument/2006/relationships/hyperlink" Target="#Menu!A1"/><Relationship Id="rId1" Type="http://schemas.openxmlformats.org/officeDocument/2006/relationships/image" Target="../media/image1.jpeg"/><Relationship Id="rId6" Type="http://schemas.openxmlformats.org/officeDocument/2006/relationships/hyperlink" Target="#'Break-Even Comparison'!A1"/><Relationship Id="rId5" Type="http://schemas.openxmlformats.org/officeDocument/2006/relationships/hyperlink" Target="#Peanut_Price"/><Relationship Id="rId4" Type="http://schemas.openxmlformats.org/officeDocument/2006/relationships/image" Target="../media/image3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5.emf"/><Relationship Id="rId3" Type="http://schemas.openxmlformats.org/officeDocument/2006/relationships/image" Target="../media/image28.emf"/><Relationship Id="rId21" Type="http://schemas.openxmlformats.org/officeDocument/2006/relationships/image" Target="../media/image10.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6.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7.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31.emf"/><Relationship Id="rId10" Type="http://schemas.openxmlformats.org/officeDocument/2006/relationships/image" Target="../media/image21.emf"/><Relationship Id="rId19" Type="http://schemas.openxmlformats.org/officeDocument/2006/relationships/image" Target="../media/image12.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154738</xdr:colOff>
      <xdr:row>0</xdr:row>
      <xdr:rowOff>381466</xdr:rowOff>
    </xdr:to>
    <xdr:grpSp>
      <xdr:nvGrpSpPr>
        <xdr:cNvPr id="2" name="Group 1"/>
        <xdr:cNvGrpSpPr/>
      </xdr:nvGrpSpPr>
      <xdr:grpSpPr>
        <a:xfrm>
          <a:off x="0" y="0"/>
          <a:ext cx="7055071" cy="381466"/>
          <a:chOff x="0" y="0"/>
          <a:chExt cx="6848475" cy="409574"/>
        </a:xfrm>
      </xdr:grpSpPr>
      <xdr:sp macro="" textlink="">
        <xdr:nvSpPr>
          <xdr:cNvPr id="3" name="Rectangle 2"/>
          <xdr:cNvSpPr/>
        </xdr:nvSpPr>
        <xdr:spPr bwMode="auto">
          <a:xfrm>
            <a:off x="0" y="0"/>
            <a:ext cx="6848475" cy="409574"/>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7" name="WordArt 1">
            <a:hlinkClick xmlns:r="http://schemas.openxmlformats.org/officeDocument/2006/relationships" r:id="rId1"/>
          </xdr:cNvPr>
          <xdr:cNvSpPr>
            <a:spLocks noChangeArrowheads="1" noChangeShapeType="1" noTextEdit="1"/>
          </xdr:cNvSpPr>
        </xdr:nvSpPr>
        <xdr:spPr bwMode="auto">
          <a:xfrm>
            <a:off x="227442" y="59355"/>
            <a:ext cx="642697"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sp macro="" textlink="">
        <xdr:nvSpPr>
          <xdr:cNvPr id="10" name="WordArt 1">
            <a:hlinkClick xmlns:r="http://schemas.openxmlformats.org/officeDocument/2006/relationships" r:id="rId2"/>
          </xdr:cNvPr>
          <xdr:cNvSpPr>
            <a:spLocks noChangeArrowheads="1" noChangeShapeType="1" noTextEdit="1"/>
          </xdr:cNvSpPr>
        </xdr:nvSpPr>
        <xdr:spPr bwMode="auto">
          <a:xfrm>
            <a:off x="1025198" y="66173"/>
            <a:ext cx="709895"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2" name="WordArt 1">
            <a:hlinkClick xmlns:r="http://schemas.openxmlformats.org/officeDocument/2006/relationships" r:id="rId3"/>
          </xdr:cNvPr>
          <xdr:cNvSpPr>
            <a:spLocks noChangeArrowheads="1" noChangeShapeType="1" noTextEdit="1"/>
          </xdr:cNvSpPr>
        </xdr:nvSpPr>
        <xdr:spPr bwMode="auto">
          <a:xfrm>
            <a:off x="1877913" y="66173"/>
            <a:ext cx="1364652"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3397624" y="72991"/>
            <a:ext cx="1576241"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5116686" y="59355"/>
            <a:ext cx="1203445"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oneCellAnchor>
    <xdr:from>
      <xdr:col>0</xdr:col>
      <xdr:colOff>180975</xdr:colOff>
      <xdr:row>2</xdr:row>
      <xdr:rowOff>0</xdr:rowOff>
    </xdr:from>
    <xdr:ext cx="2129270" cy="996661"/>
    <xdr:pic>
      <xdr:nvPicPr>
        <xdr:cNvPr id="20" name="Picture 4" descr="TAMAgEXT.jpg">
          <a:hlinkClick xmlns:r="http://schemas.openxmlformats.org/officeDocument/2006/relationships" r:id="rId6"/>
        </xdr:cNvPr>
        <xdr:cNvPicPr>
          <a:picLocks noChangeAspect="1"/>
        </xdr:cNvPicPr>
      </xdr:nvPicPr>
      <xdr:blipFill>
        <a:blip xmlns:r="http://schemas.openxmlformats.org/officeDocument/2006/relationships" r:embed="rId7" cstate="print"/>
        <a:srcRect/>
        <a:stretch>
          <a:fillRect/>
        </a:stretch>
      </xdr:blipFill>
      <xdr:spPr bwMode="auto">
        <a:xfrm>
          <a:off x="180975" y="676275"/>
          <a:ext cx="2129270" cy="996661"/>
        </a:xfrm>
        <a:prstGeom prst="rect">
          <a:avLst/>
        </a:prstGeom>
        <a:noFill/>
        <a:ln w="9525">
          <a:noFill/>
          <a:miter lim="800000"/>
          <a:headEnd/>
          <a:tailEnd/>
        </a:ln>
      </xdr:spPr>
    </xdr:pic>
    <xdr:clientData/>
  </xdr:oneCellAnchor>
  <xdr:oneCellAnchor>
    <xdr:from>
      <xdr:col>6</xdr:col>
      <xdr:colOff>131559</xdr:colOff>
      <xdr:row>20</xdr:row>
      <xdr:rowOff>12123</xdr:rowOff>
    </xdr:from>
    <xdr:ext cx="1297191" cy="883227"/>
    <xdr:pic>
      <xdr:nvPicPr>
        <xdr:cNvPr id="21" name="Picture 2" descr="october 2005 logo maroon">
          <a:hlinkClick xmlns:r="http://schemas.openxmlformats.org/officeDocument/2006/relationships" r:id="rId8"/>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32184" y="3631623"/>
          <a:ext cx="1297191"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38100</xdr:colOff>
      <xdr:row>1</xdr:row>
      <xdr:rowOff>133350</xdr:rowOff>
    </xdr:from>
    <xdr:to>
      <xdr:col>8</xdr:col>
      <xdr:colOff>323850</xdr:colOff>
      <xdr:row>7</xdr:row>
      <xdr:rowOff>104775</xdr:rowOff>
    </xdr:to>
    <xdr:pic>
      <xdr:nvPicPr>
        <xdr:cNvPr id="15" name="Picture 14" descr="Texas Corn Producers Logo">
          <a:hlinkClick xmlns:r="http://schemas.openxmlformats.org/officeDocument/2006/relationships" r:id="rId10"/>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29125" y="542925"/>
          <a:ext cx="211455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1758951</xdr:colOff>
      <xdr:row>23</xdr:row>
      <xdr:rowOff>137586</xdr:rowOff>
    </xdr:from>
    <xdr:ext cx="1276350" cy="165943"/>
    <xdr:sp macro="" textlink="">
      <xdr:nvSpPr>
        <xdr:cNvPr id="4" name="TextBox 3">
          <a:hlinkClick xmlns:r="http://schemas.openxmlformats.org/officeDocument/2006/relationships" r:id="rId12"/>
        </xdr:cNvPr>
        <xdr:cNvSpPr txBox="1"/>
      </xdr:nvSpPr>
      <xdr:spPr>
        <a:xfrm>
          <a:off x="2256368" y="4339169"/>
          <a:ext cx="1276350" cy="165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tIns="9144" rIns="9144" bIns="9144" rtlCol="0" anchor="t">
          <a:spAutoFit/>
        </a:bodyPr>
        <a:lstStyle/>
        <a:p>
          <a:r>
            <a:rPr lang="en-US" sz="1000" u="sng">
              <a:solidFill>
                <a:srgbClr val="0000FF"/>
              </a:solidFill>
              <a:latin typeface="Arial" pitchFamily="34" charset="0"/>
              <a:cs typeface="Arial" pitchFamily="34" charset="0"/>
            </a:rPr>
            <a:t>dljones@ag.tamu.edu</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64</xdr:row>
      <xdr:rowOff>0</xdr:rowOff>
    </xdr:from>
    <xdr:to>
      <xdr:col>3</xdr:col>
      <xdr:colOff>619125</xdr:colOff>
      <xdr:row>67</xdr:row>
      <xdr:rowOff>133350</xdr:rowOff>
    </xdr:to>
    <xdr:pic>
      <xdr:nvPicPr>
        <xdr:cNvPr id="6906"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095625" y="102774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25400</xdr:colOff>
      <xdr:row>0</xdr:row>
      <xdr:rowOff>381000</xdr:rowOff>
    </xdr:to>
    <xdr:grpSp>
      <xdr:nvGrpSpPr>
        <xdr:cNvPr id="8" name="Group 7"/>
        <xdr:cNvGrpSpPr/>
      </xdr:nvGrpSpPr>
      <xdr:grpSpPr>
        <a:xfrm>
          <a:off x="0" y="0"/>
          <a:ext cx="7359650"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64</xdr:row>
      <xdr:rowOff>0</xdr:rowOff>
    </xdr:from>
    <xdr:to>
      <xdr:col>3</xdr:col>
      <xdr:colOff>619125</xdr:colOff>
      <xdr:row>67</xdr:row>
      <xdr:rowOff>133350</xdr:rowOff>
    </xdr:to>
    <xdr:pic>
      <xdr:nvPicPr>
        <xdr:cNvPr id="7"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177540" y="10698480"/>
          <a:ext cx="1350645" cy="636270"/>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20955</xdr:colOff>
      <xdr:row>0</xdr:row>
      <xdr:rowOff>381000</xdr:rowOff>
    </xdr:to>
    <xdr:grpSp>
      <xdr:nvGrpSpPr>
        <xdr:cNvPr id="8" name="Group 7"/>
        <xdr:cNvGrpSpPr/>
      </xdr:nvGrpSpPr>
      <xdr:grpSpPr>
        <a:xfrm>
          <a:off x="0" y="0"/>
          <a:ext cx="7326630"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19498" name="WordArt 42">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19499" name="WordArt 43">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19500" name="WordArt 44">
          <a:hlinkClick xmlns:r="http://schemas.openxmlformats.org/officeDocument/2006/relationships" r:id="rId3"/>
        </xdr:cNvPr>
        <xdr:cNvSpPr>
          <a:spLocks noChangeArrowheads="1" noChangeShapeType="1" noTextEdit="1"/>
        </xdr:cNvSpPr>
      </xdr:nvSpPr>
      <xdr:spPr bwMode="auto">
        <a:xfrm>
          <a:off x="641985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19501" name="WordArt 45">
          <a:hlinkClick xmlns:r="http://schemas.openxmlformats.org/officeDocument/2006/relationships" r:id="rId4"/>
        </xdr:cNvPr>
        <xdr:cNvSpPr>
          <a:spLocks noChangeArrowheads="1" noChangeShapeType="1" noTextEdit="1"/>
        </xdr:cNvSpPr>
      </xdr:nvSpPr>
      <xdr:spPr bwMode="auto">
        <a:xfrm>
          <a:off x="2695575" y="19050"/>
          <a:ext cx="13906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19502" name="WordArt 46">
          <a:hlinkClick xmlns:r="http://schemas.openxmlformats.org/officeDocument/2006/relationships" r:id="rId5"/>
        </xdr:cNvPr>
        <xdr:cNvSpPr>
          <a:spLocks noChangeArrowheads="1" noChangeShapeType="1" noTextEdit="1"/>
        </xdr:cNvSpPr>
      </xdr:nvSpPr>
      <xdr:spPr bwMode="auto">
        <a:xfrm>
          <a:off x="4419600" y="19050"/>
          <a:ext cx="1409700"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64</xdr:row>
      <xdr:rowOff>0</xdr:rowOff>
    </xdr:from>
    <xdr:to>
      <xdr:col>3</xdr:col>
      <xdr:colOff>619125</xdr:colOff>
      <xdr:row>67</xdr:row>
      <xdr:rowOff>133349</xdr:rowOff>
    </xdr:to>
    <xdr:pic>
      <xdr:nvPicPr>
        <xdr:cNvPr id="19841"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995362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25400</xdr:colOff>
      <xdr:row>0</xdr:row>
      <xdr:rowOff>381000</xdr:rowOff>
    </xdr:to>
    <xdr:grpSp>
      <xdr:nvGrpSpPr>
        <xdr:cNvPr id="8" name="Group 7"/>
        <xdr:cNvGrpSpPr/>
      </xdr:nvGrpSpPr>
      <xdr:grpSpPr>
        <a:xfrm>
          <a:off x="0" y="0"/>
          <a:ext cx="7359650"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 name="WordArt 40">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3" name="WordArt 41">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4" name="WordArt 42">
          <a:hlinkClick xmlns:r="http://schemas.openxmlformats.org/officeDocument/2006/relationships" r:id="rId3"/>
        </xdr:cNvPr>
        <xdr:cNvSpPr>
          <a:spLocks noChangeArrowheads="1" noChangeShapeType="1" noTextEdit="1"/>
        </xdr:cNvSpPr>
      </xdr:nvSpPr>
      <xdr:spPr bwMode="auto">
        <a:xfrm>
          <a:off x="6715125"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5" name="WordArt 43">
          <a:hlinkClick xmlns:r="http://schemas.openxmlformats.org/officeDocument/2006/relationships" r:id="rId4"/>
        </xdr:cNvPr>
        <xdr:cNvSpPr>
          <a:spLocks noChangeArrowheads="1" noChangeShapeType="1" noTextEdit="1"/>
        </xdr:cNvSpPr>
      </xdr:nvSpPr>
      <xdr:spPr bwMode="auto">
        <a:xfrm>
          <a:off x="2743200" y="19050"/>
          <a:ext cx="14573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6" name="WordArt 44">
          <a:hlinkClick xmlns:r="http://schemas.openxmlformats.org/officeDocument/2006/relationships" r:id="rId5"/>
        </xdr:cNvPr>
        <xdr:cNvSpPr>
          <a:spLocks noChangeArrowheads="1" noChangeShapeType="1" noTextEdit="1"/>
        </xdr:cNvSpPr>
      </xdr:nvSpPr>
      <xdr:spPr bwMode="auto">
        <a:xfrm>
          <a:off x="4600575" y="19050"/>
          <a:ext cx="15144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64</xdr:row>
      <xdr:rowOff>0</xdr:rowOff>
    </xdr:from>
    <xdr:to>
      <xdr:col>3</xdr:col>
      <xdr:colOff>619125</xdr:colOff>
      <xdr:row>67</xdr:row>
      <xdr:rowOff>133349</xdr:rowOff>
    </xdr:to>
    <xdr:pic>
      <xdr:nvPicPr>
        <xdr:cNvPr id="45092"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991552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16" name="Group 15"/>
        <xdr:cNvGrpSpPr/>
      </xdr:nvGrpSpPr>
      <xdr:grpSpPr>
        <a:xfrm>
          <a:off x="0" y="0"/>
          <a:ext cx="7380816"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8"/>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9"/>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1550" name="WordArt 46">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21551" name="WordArt 47">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21552" name="WordArt 48">
          <a:hlinkClick xmlns:r="http://schemas.openxmlformats.org/officeDocument/2006/relationships" r:id="rId3"/>
        </xdr:cNvPr>
        <xdr:cNvSpPr>
          <a:spLocks noChangeArrowheads="1" noChangeShapeType="1" noTextEdit="1"/>
        </xdr:cNvSpPr>
      </xdr:nvSpPr>
      <xdr:spPr bwMode="auto">
        <a:xfrm>
          <a:off x="636270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21553" name="WordArt 49">
          <a:hlinkClick xmlns:r="http://schemas.openxmlformats.org/officeDocument/2006/relationships" r:id="rId4"/>
        </xdr:cNvPr>
        <xdr:cNvSpPr>
          <a:spLocks noChangeArrowheads="1" noChangeShapeType="1" noTextEdit="1"/>
        </xdr:cNvSpPr>
      </xdr:nvSpPr>
      <xdr:spPr bwMode="auto">
        <a:xfrm>
          <a:off x="2695575" y="19050"/>
          <a:ext cx="13811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2" name="WordArt 50">
          <a:hlinkClick xmlns:r="http://schemas.openxmlformats.org/officeDocument/2006/relationships" r:id="rId5"/>
        </xdr:cNvPr>
        <xdr:cNvSpPr>
          <a:spLocks noChangeArrowheads="1" noChangeShapeType="1" noTextEdit="1"/>
        </xdr:cNvSpPr>
      </xdr:nvSpPr>
      <xdr:spPr bwMode="auto">
        <a:xfrm>
          <a:off x="4371975" y="19050"/>
          <a:ext cx="14001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67</xdr:row>
      <xdr:rowOff>0</xdr:rowOff>
    </xdr:from>
    <xdr:to>
      <xdr:col>3</xdr:col>
      <xdr:colOff>619125</xdr:colOff>
      <xdr:row>70</xdr:row>
      <xdr:rowOff>133351</xdr:rowOff>
    </xdr:to>
    <xdr:pic>
      <xdr:nvPicPr>
        <xdr:cNvPr id="21892"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2774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25400</xdr:colOff>
      <xdr:row>0</xdr:row>
      <xdr:rowOff>381000</xdr:rowOff>
    </xdr:to>
    <xdr:grpSp>
      <xdr:nvGrpSpPr>
        <xdr:cNvPr id="16" name="Group 15"/>
        <xdr:cNvGrpSpPr/>
      </xdr:nvGrpSpPr>
      <xdr:grpSpPr>
        <a:xfrm>
          <a:off x="0" y="0"/>
          <a:ext cx="7359650"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30739" name="WordArt 19">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30740" name="WordArt 20">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30741" name="WordArt 21">
          <a:hlinkClick xmlns:r="http://schemas.openxmlformats.org/officeDocument/2006/relationships" r:id="rId3"/>
        </xdr:cNvPr>
        <xdr:cNvSpPr>
          <a:spLocks noChangeArrowheads="1" noChangeShapeType="1" noTextEdit="1"/>
        </xdr:cNvSpPr>
      </xdr:nvSpPr>
      <xdr:spPr bwMode="auto">
        <a:xfrm>
          <a:off x="647700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30742" name="WordArt 22">
          <a:hlinkClick xmlns:r="http://schemas.openxmlformats.org/officeDocument/2006/relationships" r:id="rId4"/>
        </xdr:cNvPr>
        <xdr:cNvSpPr>
          <a:spLocks noChangeArrowheads="1" noChangeShapeType="1" noTextEdit="1"/>
        </xdr:cNvSpPr>
      </xdr:nvSpPr>
      <xdr:spPr bwMode="auto">
        <a:xfrm>
          <a:off x="2695575" y="19050"/>
          <a:ext cx="13811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2" name="WordArt 23">
          <a:hlinkClick xmlns:r="http://schemas.openxmlformats.org/officeDocument/2006/relationships" r:id="rId5"/>
        </xdr:cNvPr>
        <xdr:cNvSpPr>
          <a:spLocks noChangeArrowheads="1" noChangeShapeType="1" noTextEdit="1"/>
        </xdr:cNvSpPr>
      </xdr:nvSpPr>
      <xdr:spPr bwMode="auto">
        <a:xfrm>
          <a:off x="4333875" y="19050"/>
          <a:ext cx="14763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67</xdr:row>
      <xdr:rowOff>0</xdr:rowOff>
    </xdr:from>
    <xdr:to>
      <xdr:col>3</xdr:col>
      <xdr:colOff>619125</xdr:colOff>
      <xdr:row>70</xdr:row>
      <xdr:rowOff>133351</xdr:rowOff>
    </xdr:to>
    <xdr:pic>
      <xdr:nvPicPr>
        <xdr:cNvPr id="31124"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4298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16" name="Group 15"/>
        <xdr:cNvGrpSpPr/>
      </xdr:nvGrpSpPr>
      <xdr:grpSpPr>
        <a:xfrm>
          <a:off x="0" y="0"/>
          <a:ext cx="7380816"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2569" name="WordArt 41">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22570" name="WordArt 42">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22571" name="WordArt 43">
          <a:hlinkClick xmlns:r="http://schemas.openxmlformats.org/officeDocument/2006/relationships" r:id="rId3"/>
        </xdr:cNvPr>
        <xdr:cNvSpPr>
          <a:spLocks noChangeArrowheads="1" noChangeShapeType="1" noTextEdit="1"/>
        </xdr:cNvSpPr>
      </xdr:nvSpPr>
      <xdr:spPr bwMode="auto">
        <a:xfrm>
          <a:off x="647700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22572" name="WordArt 44">
          <a:hlinkClick xmlns:r="http://schemas.openxmlformats.org/officeDocument/2006/relationships" r:id="rId4"/>
        </xdr:cNvPr>
        <xdr:cNvSpPr>
          <a:spLocks noChangeArrowheads="1" noChangeShapeType="1" noTextEdit="1"/>
        </xdr:cNvSpPr>
      </xdr:nvSpPr>
      <xdr:spPr bwMode="auto">
        <a:xfrm>
          <a:off x="2695575" y="19050"/>
          <a:ext cx="13811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2" name="WordArt 45">
          <a:hlinkClick xmlns:r="http://schemas.openxmlformats.org/officeDocument/2006/relationships" r:id="rId5"/>
        </xdr:cNvPr>
        <xdr:cNvSpPr>
          <a:spLocks noChangeArrowheads="1" noChangeShapeType="1" noTextEdit="1"/>
        </xdr:cNvSpPr>
      </xdr:nvSpPr>
      <xdr:spPr bwMode="auto">
        <a:xfrm>
          <a:off x="4333875" y="19050"/>
          <a:ext cx="14763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66</xdr:row>
      <xdr:rowOff>0</xdr:rowOff>
    </xdr:from>
    <xdr:to>
      <xdr:col>3</xdr:col>
      <xdr:colOff>619125</xdr:colOff>
      <xdr:row>69</xdr:row>
      <xdr:rowOff>133350</xdr:rowOff>
    </xdr:to>
    <xdr:pic>
      <xdr:nvPicPr>
        <xdr:cNvPr id="22953"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267950"/>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16" name="Group 15"/>
        <xdr:cNvGrpSpPr/>
      </xdr:nvGrpSpPr>
      <xdr:grpSpPr>
        <a:xfrm>
          <a:off x="0" y="0"/>
          <a:ext cx="7380816"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 name="WordArt 42">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3" name="WordArt 43">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4" name="WordArt 44">
          <a:hlinkClick xmlns:r="http://schemas.openxmlformats.org/officeDocument/2006/relationships" r:id="rId3"/>
        </xdr:cNvPr>
        <xdr:cNvSpPr>
          <a:spLocks noChangeArrowheads="1" noChangeShapeType="1" noTextEdit="1"/>
        </xdr:cNvSpPr>
      </xdr:nvSpPr>
      <xdr:spPr bwMode="auto">
        <a:xfrm>
          <a:off x="664845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5" name="WordArt 45">
          <a:hlinkClick xmlns:r="http://schemas.openxmlformats.org/officeDocument/2006/relationships" r:id="rId4"/>
        </xdr:cNvPr>
        <xdr:cNvSpPr>
          <a:spLocks noChangeArrowheads="1" noChangeShapeType="1" noTextEdit="1"/>
        </xdr:cNvSpPr>
      </xdr:nvSpPr>
      <xdr:spPr bwMode="auto">
        <a:xfrm>
          <a:off x="2733675" y="19050"/>
          <a:ext cx="143827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6" name="WordArt 46">
          <a:hlinkClick xmlns:r="http://schemas.openxmlformats.org/officeDocument/2006/relationships" r:id="rId5"/>
        </xdr:cNvPr>
        <xdr:cNvSpPr>
          <a:spLocks noChangeArrowheads="1" noChangeShapeType="1" noTextEdit="1"/>
        </xdr:cNvSpPr>
      </xdr:nvSpPr>
      <xdr:spPr bwMode="auto">
        <a:xfrm>
          <a:off x="4562475" y="19050"/>
          <a:ext cx="149542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64</xdr:row>
      <xdr:rowOff>0</xdr:rowOff>
    </xdr:from>
    <xdr:to>
      <xdr:col>3</xdr:col>
      <xdr:colOff>619125</xdr:colOff>
      <xdr:row>67</xdr:row>
      <xdr:rowOff>133349</xdr:rowOff>
    </xdr:to>
    <xdr:pic>
      <xdr:nvPicPr>
        <xdr:cNvPr id="7"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76575" y="10544175"/>
          <a:ext cx="1323975" cy="619124"/>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25400</xdr:colOff>
      <xdr:row>0</xdr:row>
      <xdr:rowOff>381000</xdr:rowOff>
    </xdr:to>
    <xdr:grpSp>
      <xdr:nvGrpSpPr>
        <xdr:cNvPr id="8" name="Group 7"/>
        <xdr:cNvGrpSpPr/>
      </xdr:nvGrpSpPr>
      <xdr:grpSpPr>
        <a:xfrm>
          <a:off x="0" y="0"/>
          <a:ext cx="7359650"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17448" name="WordArt 40">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17449" name="WordArt 41">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17450" name="WordArt 42">
          <a:hlinkClick xmlns:r="http://schemas.openxmlformats.org/officeDocument/2006/relationships" r:id="rId3"/>
        </xdr:cNvPr>
        <xdr:cNvSpPr>
          <a:spLocks noChangeArrowheads="1" noChangeShapeType="1" noTextEdit="1"/>
        </xdr:cNvSpPr>
      </xdr:nvSpPr>
      <xdr:spPr bwMode="auto">
        <a:xfrm>
          <a:off x="647700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17451" name="WordArt 43">
          <a:hlinkClick xmlns:r="http://schemas.openxmlformats.org/officeDocument/2006/relationships" r:id="rId4"/>
        </xdr:cNvPr>
        <xdr:cNvSpPr>
          <a:spLocks noChangeArrowheads="1" noChangeShapeType="1" noTextEdit="1"/>
        </xdr:cNvSpPr>
      </xdr:nvSpPr>
      <xdr:spPr bwMode="auto">
        <a:xfrm>
          <a:off x="2695575" y="19050"/>
          <a:ext cx="13811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2" name="WordArt 44">
          <a:hlinkClick xmlns:r="http://schemas.openxmlformats.org/officeDocument/2006/relationships" r:id="rId5"/>
        </xdr:cNvPr>
        <xdr:cNvSpPr>
          <a:spLocks noChangeArrowheads="1" noChangeShapeType="1" noTextEdit="1"/>
        </xdr:cNvSpPr>
      </xdr:nvSpPr>
      <xdr:spPr bwMode="auto">
        <a:xfrm>
          <a:off x="4333875" y="19050"/>
          <a:ext cx="14763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65</xdr:row>
      <xdr:rowOff>0</xdr:rowOff>
    </xdr:from>
    <xdr:to>
      <xdr:col>3</xdr:col>
      <xdr:colOff>619125</xdr:colOff>
      <xdr:row>68</xdr:row>
      <xdr:rowOff>133350</xdr:rowOff>
    </xdr:to>
    <xdr:pic>
      <xdr:nvPicPr>
        <xdr:cNvPr id="18156"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267950"/>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8" name="Group 7"/>
        <xdr:cNvGrpSpPr/>
      </xdr:nvGrpSpPr>
      <xdr:grpSpPr>
        <a:xfrm>
          <a:off x="0" y="0"/>
          <a:ext cx="7380816"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 name="WordArt 40">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3" name="WordArt 41">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4" name="WordArt 42">
          <a:hlinkClick xmlns:r="http://schemas.openxmlformats.org/officeDocument/2006/relationships" r:id="rId3"/>
        </xdr:cNvPr>
        <xdr:cNvSpPr>
          <a:spLocks noChangeArrowheads="1" noChangeShapeType="1" noTextEdit="1"/>
        </xdr:cNvSpPr>
      </xdr:nvSpPr>
      <xdr:spPr bwMode="auto">
        <a:xfrm>
          <a:off x="6715125"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5" name="WordArt 43">
          <a:hlinkClick xmlns:r="http://schemas.openxmlformats.org/officeDocument/2006/relationships" r:id="rId4"/>
        </xdr:cNvPr>
        <xdr:cNvSpPr>
          <a:spLocks noChangeArrowheads="1" noChangeShapeType="1" noTextEdit="1"/>
        </xdr:cNvSpPr>
      </xdr:nvSpPr>
      <xdr:spPr bwMode="auto">
        <a:xfrm>
          <a:off x="2743200" y="19050"/>
          <a:ext cx="14573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6" name="WordArt 44">
          <a:hlinkClick xmlns:r="http://schemas.openxmlformats.org/officeDocument/2006/relationships" r:id="rId5"/>
        </xdr:cNvPr>
        <xdr:cNvSpPr>
          <a:spLocks noChangeArrowheads="1" noChangeShapeType="1" noTextEdit="1"/>
        </xdr:cNvSpPr>
      </xdr:nvSpPr>
      <xdr:spPr bwMode="auto">
        <a:xfrm>
          <a:off x="4600575" y="19050"/>
          <a:ext cx="15144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66</xdr:row>
      <xdr:rowOff>0</xdr:rowOff>
    </xdr:from>
    <xdr:to>
      <xdr:col>3</xdr:col>
      <xdr:colOff>619125</xdr:colOff>
      <xdr:row>69</xdr:row>
      <xdr:rowOff>133350</xdr:rowOff>
    </xdr:to>
    <xdr:pic>
      <xdr:nvPicPr>
        <xdr:cNvPr id="7"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44892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38100</xdr:colOff>
      <xdr:row>0</xdr:row>
      <xdr:rowOff>381000</xdr:rowOff>
    </xdr:to>
    <xdr:grpSp>
      <xdr:nvGrpSpPr>
        <xdr:cNvPr id="16" name="Group 15"/>
        <xdr:cNvGrpSpPr/>
      </xdr:nvGrpSpPr>
      <xdr:grpSpPr>
        <a:xfrm>
          <a:off x="0" y="0"/>
          <a:ext cx="7343775"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8"/>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9"/>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32</xdr:row>
      <xdr:rowOff>133350</xdr:rowOff>
    </xdr:from>
    <xdr:to>
      <xdr:col>2</xdr:col>
      <xdr:colOff>123825</xdr:colOff>
      <xdr:row>38</xdr:row>
      <xdr:rowOff>28575</xdr:rowOff>
    </xdr:to>
    <xdr:pic>
      <xdr:nvPicPr>
        <xdr:cNvPr id="59393" name="Picture 2" descr="TAMAgEXT.jpg"/>
        <xdr:cNvPicPr>
          <a:picLocks noChangeAspect="1"/>
        </xdr:cNvPicPr>
      </xdr:nvPicPr>
      <xdr:blipFill>
        <a:blip xmlns:r="http://schemas.openxmlformats.org/officeDocument/2006/relationships" r:embed="rId1" cstate="print"/>
        <a:srcRect/>
        <a:stretch>
          <a:fillRect/>
        </a:stretch>
      </xdr:blipFill>
      <xdr:spPr bwMode="auto">
        <a:xfrm>
          <a:off x="9525" y="5762625"/>
          <a:ext cx="1866900" cy="86677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10</xdr:col>
      <xdr:colOff>533400</xdr:colOff>
      <xdr:row>0</xdr:row>
      <xdr:rowOff>381000</xdr:rowOff>
    </xdr:to>
    <xdr:sp macro="" textlink="">
      <xdr:nvSpPr>
        <xdr:cNvPr id="5" name="Rectangle 4"/>
        <xdr:cNvSpPr/>
      </xdr:nvSpPr>
      <xdr:spPr bwMode="auto">
        <a:xfrm>
          <a:off x="0" y="0"/>
          <a:ext cx="7391400" cy="38100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absolute">
    <xdr:from>
      <xdr:col>10</xdr:col>
      <xdr:colOff>31664</xdr:colOff>
      <xdr:row>0</xdr:row>
      <xdr:rowOff>45720</xdr:rowOff>
    </xdr:from>
    <xdr:to>
      <xdr:col>10</xdr:col>
      <xdr:colOff>296650</xdr:colOff>
      <xdr:row>0</xdr:row>
      <xdr:rowOff>317322</xdr:rowOff>
    </xdr:to>
    <xdr:pic>
      <xdr:nvPicPr>
        <xdr:cNvPr id="7" name="Picture 6" descr="C:\Users\bridget.guerrero\AppData\Local\Microsoft\Windows\Temporary Internet Files\Content.IE5\0VV9XFXZ\MC900441428[1].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89664" y="45720"/>
          <a:ext cx="264986" cy="271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153882</xdr:colOff>
      <xdr:row>0</xdr:row>
      <xdr:rowOff>36195</xdr:rowOff>
    </xdr:from>
    <xdr:to>
      <xdr:col>1</xdr:col>
      <xdr:colOff>912039</xdr:colOff>
      <xdr:row>0</xdr:row>
      <xdr:rowOff>306705</xdr:rowOff>
    </xdr:to>
    <xdr:sp macro="" textlink="">
      <xdr:nvSpPr>
        <xdr:cNvPr id="8" name="WordArt 1">
          <a:hlinkClick xmlns:r="http://schemas.openxmlformats.org/officeDocument/2006/relationships" r:id="rId4"/>
        </xdr:cNvPr>
        <xdr:cNvSpPr>
          <a:spLocks noChangeArrowheads="1" noChangeShapeType="1" noTextEdit="1"/>
        </xdr:cNvSpPr>
      </xdr:nvSpPr>
      <xdr:spPr bwMode="auto">
        <a:xfrm>
          <a:off x="306282" y="36195"/>
          <a:ext cx="758157"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clientData/>
  </xdr:twoCellAnchor>
  <xdr:twoCellAnchor editAs="absolute">
    <xdr:from>
      <xdr:col>1</xdr:col>
      <xdr:colOff>1261821</xdr:colOff>
      <xdr:row>0</xdr:row>
      <xdr:rowOff>45720</xdr:rowOff>
    </xdr:from>
    <xdr:to>
      <xdr:col>3</xdr:col>
      <xdr:colOff>909500</xdr:colOff>
      <xdr:row>0</xdr:row>
      <xdr:rowOff>320040</xdr:rowOff>
    </xdr:to>
    <xdr:sp macro="" textlink="">
      <xdr:nvSpPr>
        <xdr:cNvPr id="9" name="WordArt 1">
          <a:hlinkClick xmlns:r="http://schemas.openxmlformats.org/officeDocument/2006/relationships" r:id="rId5"/>
        </xdr:cNvPr>
        <xdr:cNvSpPr>
          <a:spLocks noChangeArrowheads="1" noChangeShapeType="1" noTextEdit="1"/>
        </xdr:cNvSpPr>
      </xdr:nvSpPr>
      <xdr:spPr bwMode="auto">
        <a:xfrm>
          <a:off x="1414221" y="45720"/>
          <a:ext cx="1457429"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clientData/>
  </xdr:twoCellAnchor>
  <xdr:twoCellAnchor editAs="absolute">
    <xdr:from>
      <xdr:col>3</xdr:col>
      <xdr:colOff>1259283</xdr:colOff>
      <xdr:row>0</xdr:row>
      <xdr:rowOff>58420</xdr:rowOff>
    </xdr:from>
    <xdr:to>
      <xdr:col>6</xdr:col>
      <xdr:colOff>304261</xdr:colOff>
      <xdr:row>0</xdr:row>
      <xdr:rowOff>386080</xdr:rowOff>
    </xdr:to>
    <xdr:sp macro="" textlink="">
      <xdr:nvSpPr>
        <xdr:cNvPr id="10" name="WordArt 1">
          <a:hlinkClick xmlns:r="http://schemas.openxmlformats.org/officeDocument/2006/relationships" r:id="rId6"/>
        </xdr:cNvPr>
        <xdr:cNvSpPr>
          <a:spLocks noChangeArrowheads="1" noChangeShapeType="1" noTextEdit="1"/>
        </xdr:cNvSpPr>
      </xdr:nvSpPr>
      <xdr:spPr bwMode="auto">
        <a:xfrm>
          <a:off x="3329383" y="58420"/>
          <a:ext cx="1775478"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clientData/>
  </xdr:twoCellAnchor>
  <xdr:twoCellAnchor editAs="absolute">
    <xdr:from>
      <xdr:col>7</xdr:col>
      <xdr:colOff>44443</xdr:colOff>
      <xdr:row>0</xdr:row>
      <xdr:rowOff>45720</xdr:rowOff>
    </xdr:from>
    <xdr:to>
      <xdr:col>9</xdr:col>
      <xdr:colOff>110505</xdr:colOff>
      <xdr:row>0</xdr:row>
      <xdr:rowOff>388620</xdr:rowOff>
    </xdr:to>
    <xdr:sp macro="" textlink="">
      <xdr:nvSpPr>
        <xdr:cNvPr id="11" name="WordArt 1">
          <a:hlinkClick xmlns:r="http://schemas.openxmlformats.org/officeDocument/2006/relationships" r:id="rId7"/>
        </xdr:cNvPr>
        <xdr:cNvSpPr>
          <a:spLocks noChangeArrowheads="1" noChangeShapeType="1" noTextEdit="1"/>
        </xdr:cNvSpPr>
      </xdr:nvSpPr>
      <xdr:spPr bwMode="auto">
        <a:xfrm>
          <a:off x="5254618" y="45720"/>
          <a:ext cx="1285262"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clientData/>
  </xdr:twoCellAnchor>
  <mc:AlternateContent xmlns:mc="http://schemas.openxmlformats.org/markup-compatibility/2006">
    <mc:Choice xmlns:a14="http://schemas.microsoft.com/office/drawing/2010/main" Requires="a14">
      <xdr:twoCellAnchor editAs="oneCell">
        <xdr:from>
          <xdr:col>3</xdr:col>
          <xdr:colOff>266700</xdr:colOff>
          <xdr:row>7</xdr:row>
          <xdr:rowOff>0</xdr:rowOff>
        </xdr:from>
        <xdr:to>
          <xdr:col>3</xdr:col>
          <xdr:colOff>1417320</xdr:colOff>
          <xdr:row>8</xdr:row>
          <xdr:rowOff>106680</xdr:rowOff>
        </xdr:to>
        <xdr:sp macro="" textlink="">
          <xdr:nvSpPr>
            <xdr:cNvPr id="1025" name="IAlfalfa"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xdr:row>
          <xdr:rowOff>22860</xdr:rowOff>
        </xdr:from>
        <xdr:to>
          <xdr:col>4</xdr:col>
          <xdr:colOff>304800</xdr:colOff>
          <xdr:row>6</xdr:row>
          <xdr:rowOff>38100</xdr:rowOff>
        </xdr:to>
        <xdr:sp macro="" textlink="">
          <xdr:nvSpPr>
            <xdr:cNvPr id="1026" name="AllIrrCrops"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xdr:row>
          <xdr:rowOff>0</xdr:rowOff>
        </xdr:from>
        <xdr:to>
          <xdr:col>3</xdr:col>
          <xdr:colOff>1417320</xdr:colOff>
          <xdr:row>10</xdr:row>
          <xdr:rowOff>99060</xdr:rowOff>
        </xdr:to>
        <xdr:sp macro="" textlink="">
          <xdr:nvSpPr>
            <xdr:cNvPr id="1027" name="ICanola"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0</xdr:rowOff>
        </xdr:from>
        <xdr:to>
          <xdr:col>3</xdr:col>
          <xdr:colOff>1440180</xdr:colOff>
          <xdr:row>12</xdr:row>
          <xdr:rowOff>99060</xdr:rowOff>
        </xdr:to>
        <xdr:sp macro="" textlink="">
          <xdr:nvSpPr>
            <xdr:cNvPr id="1028" name="ICorn"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15</xdr:row>
          <xdr:rowOff>0</xdr:rowOff>
        </xdr:from>
        <xdr:to>
          <xdr:col>3</xdr:col>
          <xdr:colOff>1432560</xdr:colOff>
          <xdr:row>16</xdr:row>
          <xdr:rowOff>99060</xdr:rowOff>
        </xdr:to>
        <xdr:sp macro="" textlink="">
          <xdr:nvSpPr>
            <xdr:cNvPr id="1029" name="ICotton"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17</xdr:row>
          <xdr:rowOff>0</xdr:rowOff>
        </xdr:from>
        <xdr:to>
          <xdr:col>3</xdr:col>
          <xdr:colOff>1417320</xdr:colOff>
          <xdr:row>18</xdr:row>
          <xdr:rowOff>83820</xdr:rowOff>
        </xdr:to>
        <xdr:sp macro="" textlink="">
          <xdr:nvSpPr>
            <xdr:cNvPr id="1030" name="IPeanuts"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19</xdr:row>
          <xdr:rowOff>0</xdr:rowOff>
        </xdr:from>
        <xdr:to>
          <xdr:col>4</xdr:col>
          <xdr:colOff>175260</xdr:colOff>
          <xdr:row>20</xdr:row>
          <xdr:rowOff>106680</xdr:rowOff>
        </xdr:to>
        <xdr:sp macro="" textlink="">
          <xdr:nvSpPr>
            <xdr:cNvPr id="1031" name="ISorghum"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21</xdr:row>
          <xdr:rowOff>0</xdr:rowOff>
        </xdr:from>
        <xdr:to>
          <xdr:col>5</xdr:col>
          <xdr:colOff>236220</xdr:colOff>
          <xdr:row>22</xdr:row>
          <xdr:rowOff>106680</xdr:rowOff>
        </xdr:to>
        <xdr:sp macro="" textlink="">
          <xdr:nvSpPr>
            <xdr:cNvPr id="1032" name="ISorgSeed"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23</xdr:row>
          <xdr:rowOff>0</xdr:rowOff>
        </xdr:from>
        <xdr:to>
          <xdr:col>5</xdr:col>
          <xdr:colOff>304800</xdr:colOff>
          <xdr:row>24</xdr:row>
          <xdr:rowOff>106680</xdr:rowOff>
        </xdr:to>
        <xdr:sp macro="" textlink="">
          <xdr:nvSpPr>
            <xdr:cNvPr id="1033" name="ISorgSilage"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25</xdr:row>
          <xdr:rowOff>0</xdr:rowOff>
        </xdr:from>
        <xdr:to>
          <xdr:col>5</xdr:col>
          <xdr:colOff>594360</xdr:colOff>
          <xdr:row>26</xdr:row>
          <xdr:rowOff>99060</xdr:rowOff>
        </xdr:to>
        <xdr:sp macro="" textlink="">
          <xdr:nvSpPr>
            <xdr:cNvPr id="1034" name="ISorgSudan"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26</xdr:row>
          <xdr:rowOff>152400</xdr:rowOff>
        </xdr:from>
        <xdr:to>
          <xdr:col>5</xdr:col>
          <xdr:colOff>198120</xdr:colOff>
          <xdr:row>28</xdr:row>
          <xdr:rowOff>83820</xdr:rowOff>
        </xdr:to>
        <xdr:sp macro="" textlink="">
          <xdr:nvSpPr>
            <xdr:cNvPr id="1035" name="ISoybeans"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29</xdr:row>
          <xdr:rowOff>0</xdr:rowOff>
        </xdr:from>
        <xdr:to>
          <xdr:col>5</xdr:col>
          <xdr:colOff>647700</xdr:colOff>
          <xdr:row>30</xdr:row>
          <xdr:rowOff>99060</xdr:rowOff>
        </xdr:to>
        <xdr:sp macro="" textlink="">
          <xdr:nvSpPr>
            <xdr:cNvPr id="1036" name="ISunConf"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31</xdr:row>
          <xdr:rowOff>0</xdr:rowOff>
        </xdr:from>
        <xdr:to>
          <xdr:col>5</xdr:col>
          <xdr:colOff>525780</xdr:colOff>
          <xdr:row>32</xdr:row>
          <xdr:rowOff>99060</xdr:rowOff>
        </xdr:to>
        <xdr:sp macro="" textlink="">
          <xdr:nvSpPr>
            <xdr:cNvPr id="1037" name="ISunOil"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34</xdr:row>
          <xdr:rowOff>152400</xdr:rowOff>
        </xdr:from>
        <xdr:to>
          <xdr:col>3</xdr:col>
          <xdr:colOff>1432560</xdr:colOff>
          <xdr:row>36</xdr:row>
          <xdr:rowOff>83820</xdr:rowOff>
        </xdr:to>
        <xdr:sp macro="" textlink="">
          <xdr:nvSpPr>
            <xdr:cNvPr id="1038" name="IWheat"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37</xdr:row>
          <xdr:rowOff>0</xdr:rowOff>
        </xdr:from>
        <xdr:to>
          <xdr:col>5</xdr:col>
          <xdr:colOff>327660</xdr:colOff>
          <xdr:row>38</xdr:row>
          <xdr:rowOff>99060</xdr:rowOff>
        </xdr:to>
        <xdr:sp macro="" textlink="">
          <xdr:nvSpPr>
            <xdr:cNvPr id="1039" name="IOther"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xdr:row>
          <xdr:rowOff>22860</xdr:rowOff>
        </xdr:from>
        <xdr:to>
          <xdr:col>8</xdr:col>
          <xdr:colOff>99060</xdr:colOff>
          <xdr:row>8</xdr:row>
          <xdr:rowOff>121920</xdr:rowOff>
        </xdr:to>
        <xdr:sp macro="" textlink="">
          <xdr:nvSpPr>
            <xdr:cNvPr id="1040" name="DCanola"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xdr:row>
          <xdr:rowOff>22860</xdr:rowOff>
        </xdr:from>
        <xdr:to>
          <xdr:col>8</xdr:col>
          <xdr:colOff>411480</xdr:colOff>
          <xdr:row>6</xdr:row>
          <xdr:rowOff>38100</xdr:rowOff>
        </xdr:to>
        <xdr:sp macro="" textlink="">
          <xdr:nvSpPr>
            <xdr:cNvPr id="1041" name="AllDryCrops"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xdr:row>
          <xdr:rowOff>7620</xdr:rowOff>
        </xdr:from>
        <xdr:to>
          <xdr:col>8</xdr:col>
          <xdr:colOff>99060</xdr:colOff>
          <xdr:row>10</xdr:row>
          <xdr:rowOff>106680</xdr:rowOff>
        </xdr:to>
        <xdr:sp macro="" textlink="">
          <xdr:nvSpPr>
            <xdr:cNvPr id="1042" name="DCotton"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xdr:row>
          <xdr:rowOff>7620</xdr:rowOff>
        </xdr:from>
        <xdr:to>
          <xdr:col>8</xdr:col>
          <xdr:colOff>99060</xdr:colOff>
          <xdr:row>12</xdr:row>
          <xdr:rowOff>99060</xdr:rowOff>
        </xdr:to>
        <xdr:sp macro="" textlink="">
          <xdr:nvSpPr>
            <xdr:cNvPr id="1043" name="DSorghum"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xdr:row>
          <xdr:rowOff>0</xdr:rowOff>
        </xdr:from>
        <xdr:to>
          <xdr:col>9</xdr:col>
          <xdr:colOff>327660</xdr:colOff>
          <xdr:row>14</xdr:row>
          <xdr:rowOff>106680</xdr:rowOff>
        </xdr:to>
        <xdr:sp macro="" textlink="">
          <xdr:nvSpPr>
            <xdr:cNvPr id="1044" name="DSorgSudan"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xdr:row>
          <xdr:rowOff>152400</xdr:rowOff>
        </xdr:from>
        <xdr:to>
          <xdr:col>10</xdr:col>
          <xdr:colOff>60960</xdr:colOff>
          <xdr:row>16</xdr:row>
          <xdr:rowOff>83820</xdr:rowOff>
        </xdr:to>
        <xdr:sp macro="" textlink="">
          <xdr:nvSpPr>
            <xdr:cNvPr id="1045" name="DSunOil"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xdr:row>
          <xdr:rowOff>0</xdr:rowOff>
        </xdr:from>
        <xdr:to>
          <xdr:col>8</xdr:col>
          <xdr:colOff>297180</xdr:colOff>
          <xdr:row>18</xdr:row>
          <xdr:rowOff>99060</xdr:rowOff>
        </xdr:to>
        <xdr:sp macro="" textlink="">
          <xdr:nvSpPr>
            <xdr:cNvPr id="1046" name="DWheat"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xdr:row>
          <xdr:rowOff>0</xdr:rowOff>
        </xdr:from>
        <xdr:to>
          <xdr:col>9</xdr:col>
          <xdr:colOff>76200</xdr:colOff>
          <xdr:row>20</xdr:row>
          <xdr:rowOff>106680</xdr:rowOff>
        </xdr:to>
        <xdr:sp macro="" textlink="">
          <xdr:nvSpPr>
            <xdr:cNvPr id="1047" name="DOther"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24</xdr:row>
          <xdr:rowOff>137160</xdr:rowOff>
        </xdr:from>
        <xdr:to>
          <xdr:col>8</xdr:col>
          <xdr:colOff>289560</xdr:colOff>
          <xdr:row>27</xdr:row>
          <xdr:rowOff>152400</xdr:rowOff>
        </xdr:to>
        <xdr:sp macro="" textlink="">
          <xdr:nvSpPr>
            <xdr:cNvPr id="1049" name="TTL"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29</xdr:row>
          <xdr:rowOff>7620</xdr:rowOff>
        </xdr:from>
        <xdr:to>
          <xdr:col>8</xdr:col>
          <xdr:colOff>114300</xdr:colOff>
          <xdr:row>30</xdr:row>
          <xdr:rowOff>106680</xdr:rowOff>
        </xdr:to>
        <xdr:sp macro="" textlink="">
          <xdr:nvSpPr>
            <xdr:cNvPr id="1050" name="Tenant"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31</xdr:row>
          <xdr:rowOff>7620</xdr:rowOff>
        </xdr:from>
        <xdr:to>
          <xdr:col>8</xdr:col>
          <xdr:colOff>114300</xdr:colOff>
          <xdr:row>32</xdr:row>
          <xdr:rowOff>106680</xdr:rowOff>
        </xdr:to>
        <xdr:sp macro="" textlink="">
          <xdr:nvSpPr>
            <xdr:cNvPr id="1051" name="Landlord"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13</xdr:row>
          <xdr:rowOff>0</xdr:rowOff>
        </xdr:from>
        <xdr:to>
          <xdr:col>5</xdr:col>
          <xdr:colOff>45720</xdr:colOff>
          <xdr:row>14</xdr:row>
          <xdr:rowOff>99060</xdr:rowOff>
        </xdr:to>
        <xdr:sp macro="" textlink="">
          <xdr:nvSpPr>
            <xdr:cNvPr id="1052" name="ICornSilage"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33</xdr:row>
          <xdr:rowOff>0</xdr:rowOff>
        </xdr:from>
        <xdr:to>
          <xdr:col>5</xdr:col>
          <xdr:colOff>304800</xdr:colOff>
          <xdr:row>34</xdr:row>
          <xdr:rowOff>106680</xdr:rowOff>
        </xdr:to>
        <xdr:sp macro="" textlink="">
          <xdr:nvSpPr>
            <xdr:cNvPr id="1053" name="ITritSilage"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5651" name="WordArt 51">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25652" name="WordArt 52">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25653" name="WordArt 53">
          <a:hlinkClick xmlns:r="http://schemas.openxmlformats.org/officeDocument/2006/relationships" r:id="rId3"/>
        </xdr:cNvPr>
        <xdr:cNvSpPr>
          <a:spLocks noChangeArrowheads="1" noChangeShapeType="1" noTextEdit="1"/>
        </xdr:cNvSpPr>
      </xdr:nvSpPr>
      <xdr:spPr bwMode="auto">
        <a:xfrm>
          <a:off x="6315075"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25654" name="WordArt 54">
          <a:hlinkClick xmlns:r="http://schemas.openxmlformats.org/officeDocument/2006/relationships" r:id="rId4"/>
        </xdr:cNvPr>
        <xdr:cNvSpPr>
          <a:spLocks noChangeArrowheads="1" noChangeShapeType="1" noTextEdit="1"/>
        </xdr:cNvSpPr>
      </xdr:nvSpPr>
      <xdr:spPr bwMode="auto">
        <a:xfrm>
          <a:off x="2695575" y="19050"/>
          <a:ext cx="13906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25655" name="WordArt 55">
          <a:hlinkClick xmlns:r="http://schemas.openxmlformats.org/officeDocument/2006/relationships" r:id="rId5"/>
        </xdr:cNvPr>
        <xdr:cNvSpPr>
          <a:spLocks noChangeArrowheads="1" noChangeShapeType="1" noTextEdit="1"/>
        </xdr:cNvSpPr>
      </xdr:nvSpPr>
      <xdr:spPr bwMode="auto">
        <a:xfrm>
          <a:off x="4343400" y="19050"/>
          <a:ext cx="1409700"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63</xdr:row>
      <xdr:rowOff>0</xdr:rowOff>
    </xdr:from>
    <xdr:to>
      <xdr:col>3</xdr:col>
      <xdr:colOff>619125</xdr:colOff>
      <xdr:row>66</xdr:row>
      <xdr:rowOff>133351</xdr:rowOff>
    </xdr:to>
    <xdr:pic>
      <xdr:nvPicPr>
        <xdr:cNvPr id="26030"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2774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16" name="Group 15"/>
        <xdr:cNvGrpSpPr/>
      </xdr:nvGrpSpPr>
      <xdr:grpSpPr>
        <a:xfrm>
          <a:off x="0" y="0"/>
          <a:ext cx="7380816"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9288" name="WordArt 72">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9289" name="WordArt 73">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9290" name="WordArt 74">
          <a:hlinkClick xmlns:r="http://schemas.openxmlformats.org/officeDocument/2006/relationships" r:id="rId3"/>
        </xdr:cNvPr>
        <xdr:cNvSpPr>
          <a:spLocks noChangeArrowheads="1" noChangeShapeType="1" noTextEdit="1"/>
        </xdr:cNvSpPr>
      </xdr:nvSpPr>
      <xdr:spPr bwMode="auto">
        <a:xfrm>
          <a:off x="647700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9291" name="WordArt 75">
          <a:hlinkClick xmlns:r="http://schemas.openxmlformats.org/officeDocument/2006/relationships" r:id="rId4"/>
        </xdr:cNvPr>
        <xdr:cNvSpPr>
          <a:spLocks noChangeArrowheads="1" noChangeShapeType="1" noTextEdit="1"/>
        </xdr:cNvSpPr>
      </xdr:nvSpPr>
      <xdr:spPr bwMode="auto">
        <a:xfrm>
          <a:off x="2695575" y="19050"/>
          <a:ext cx="13906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9292" name="WordArt 76">
          <a:hlinkClick xmlns:r="http://schemas.openxmlformats.org/officeDocument/2006/relationships" r:id="rId5"/>
        </xdr:cNvPr>
        <xdr:cNvSpPr>
          <a:spLocks noChangeArrowheads="1" noChangeShapeType="1" noTextEdit="1"/>
        </xdr:cNvSpPr>
      </xdr:nvSpPr>
      <xdr:spPr bwMode="auto">
        <a:xfrm>
          <a:off x="4476750" y="19050"/>
          <a:ext cx="1409700"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67</xdr:row>
      <xdr:rowOff>0</xdr:rowOff>
    </xdr:from>
    <xdr:to>
      <xdr:col>3</xdr:col>
      <xdr:colOff>619125</xdr:colOff>
      <xdr:row>70</xdr:row>
      <xdr:rowOff>133351</xdr:rowOff>
    </xdr:to>
    <xdr:pic>
      <xdr:nvPicPr>
        <xdr:cNvPr id="9624"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109662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8467</xdr:colOff>
      <xdr:row>0</xdr:row>
      <xdr:rowOff>381000</xdr:rowOff>
    </xdr:to>
    <xdr:grpSp>
      <xdr:nvGrpSpPr>
        <xdr:cNvPr id="8" name="Group 7"/>
        <xdr:cNvGrpSpPr/>
      </xdr:nvGrpSpPr>
      <xdr:grpSpPr>
        <a:xfrm>
          <a:off x="0" y="0"/>
          <a:ext cx="7342717"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15406" name="WordArt 46">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15407" name="WordArt 47">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15408" name="WordArt 48">
          <a:hlinkClick xmlns:r="http://schemas.openxmlformats.org/officeDocument/2006/relationships" r:id="rId3"/>
        </xdr:cNvPr>
        <xdr:cNvSpPr>
          <a:spLocks noChangeArrowheads="1" noChangeShapeType="1" noTextEdit="1"/>
        </xdr:cNvSpPr>
      </xdr:nvSpPr>
      <xdr:spPr bwMode="auto">
        <a:xfrm>
          <a:off x="6334125"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15409" name="WordArt 49">
          <a:hlinkClick xmlns:r="http://schemas.openxmlformats.org/officeDocument/2006/relationships" r:id="rId4"/>
        </xdr:cNvPr>
        <xdr:cNvSpPr>
          <a:spLocks noChangeArrowheads="1" noChangeShapeType="1" noTextEdit="1"/>
        </xdr:cNvSpPr>
      </xdr:nvSpPr>
      <xdr:spPr bwMode="auto">
        <a:xfrm>
          <a:off x="2695575" y="19050"/>
          <a:ext cx="13906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15410" name="WordArt 50">
          <a:hlinkClick xmlns:r="http://schemas.openxmlformats.org/officeDocument/2006/relationships" r:id="rId5"/>
        </xdr:cNvPr>
        <xdr:cNvSpPr>
          <a:spLocks noChangeArrowheads="1" noChangeShapeType="1" noTextEdit="1"/>
        </xdr:cNvSpPr>
      </xdr:nvSpPr>
      <xdr:spPr bwMode="auto">
        <a:xfrm>
          <a:off x="4343400" y="19050"/>
          <a:ext cx="141922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61</xdr:row>
      <xdr:rowOff>0</xdr:rowOff>
    </xdr:from>
    <xdr:to>
      <xdr:col>3</xdr:col>
      <xdr:colOff>619125</xdr:colOff>
      <xdr:row>64</xdr:row>
      <xdr:rowOff>133349</xdr:rowOff>
    </xdr:to>
    <xdr:pic>
      <xdr:nvPicPr>
        <xdr:cNvPr id="15742"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9944100"/>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8" name="Group 7"/>
        <xdr:cNvGrpSpPr/>
      </xdr:nvGrpSpPr>
      <xdr:grpSpPr>
        <a:xfrm>
          <a:off x="0" y="0"/>
          <a:ext cx="7380816"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 name="WordArt 40">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3" name="WordArt 41">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4" name="WordArt 42">
          <a:hlinkClick xmlns:r="http://schemas.openxmlformats.org/officeDocument/2006/relationships" r:id="rId3"/>
        </xdr:cNvPr>
        <xdr:cNvSpPr>
          <a:spLocks noChangeArrowheads="1" noChangeShapeType="1" noTextEdit="1"/>
        </xdr:cNvSpPr>
      </xdr:nvSpPr>
      <xdr:spPr bwMode="auto">
        <a:xfrm>
          <a:off x="6715125"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5" name="WordArt 43">
          <a:hlinkClick xmlns:r="http://schemas.openxmlformats.org/officeDocument/2006/relationships" r:id="rId4"/>
        </xdr:cNvPr>
        <xdr:cNvSpPr>
          <a:spLocks noChangeArrowheads="1" noChangeShapeType="1" noTextEdit="1"/>
        </xdr:cNvSpPr>
      </xdr:nvSpPr>
      <xdr:spPr bwMode="auto">
        <a:xfrm>
          <a:off x="2743200" y="19050"/>
          <a:ext cx="14573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6" name="WordArt 44">
          <a:hlinkClick xmlns:r="http://schemas.openxmlformats.org/officeDocument/2006/relationships" r:id="rId5"/>
        </xdr:cNvPr>
        <xdr:cNvSpPr>
          <a:spLocks noChangeArrowheads="1" noChangeShapeType="1" noTextEdit="1"/>
        </xdr:cNvSpPr>
      </xdr:nvSpPr>
      <xdr:spPr bwMode="auto">
        <a:xfrm>
          <a:off x="4600575" y="19050"/>
          <a:ext cx="15144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60</xdr:row>
      <xdr:rowOff>0</xdr:rowOff>
    </xdr:from>
    <xdr:to>
      <xdr:col>3</xdr:col>
      <xdr:colOff>619125</xdr:colOff>
      <xdr:row>63</xdr:row>
      <xdr:rowOff>133350</xdr:rowOff>
    </xdr:to>
    <xdr:pic>
      <xdr:nvPicPr>
        <xdr:cNvPr id="46112"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97821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8" name="Group 7"/>
        <xdr:cNvGrpSpPr/>
      </xdr:nvGrpSpPr>
      <xdr:grpSpPr>
        <a:xfrm>
          <a:off x="0" y="0"/>
          <a:ext cx="7380816"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8"/>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9"/>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4624" name="WordArt 48">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24625" name="WordArt 49">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24626" name="WordArt 50">
          <a:hlinkClick xmlns:r="http://schemas.openxmlformats.org/officeDocument/2006/relationships" r:id="rId3"/>
        </xdr:cNvPr>
        <xdr:cNvSpPr>
          <a:spLocks noChangeArrowheads="1" noChangeShapeType="1" noTextEdit="1"/>
        </xdr:cNvSpPr>
      </xdr:nvSpPr>
      <xdr:spPr bwMode="auto">
        <a:xfrm>
          <a:off x="6315075"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24627" name="WordArt 51">
          <a:hlinkClick xmlns:r="http://schemas.openxmlformats.org/officeDocument/2006/relationships" r:id="rId4"/>
        </xdr:cNvPr>
        <xdr:cNvSpPr>
          <a:spLocks noChangeArrowheads="1" noChangeShapeType="1" noTextEdit="1"/>
        </xdr:cNvSpPr>
      </xdr:nvSpPr>
      <xdr:spPr bwMode="auto">
        <a:xfrm>
          <a:off x="2695575" y="19050"/>
          <a:ext cx="13906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24628" name="WordArt 52">
          <a:hlinkClick xmlns:r="http://schemas.openxmlformats.org/officeDocument/2006/relationships" r:id="rId5"/>
        </xdr:cNvPr>
        <xdr:cNvSpPr>
          <a:spLocks noChangeArrowheads="1" noChangeShapeType="1" noTextEdit="1"/>
        </xdr:cNvSpPr>
      </xdr:nvSpPr>
      <xdr:spPr bwMode="auto">
        <a:xfrm>
          <a:off x="4343400" y="19050"/>
          <a:ext cx="1409700"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62</xdr:row>
      <xdr:rowOff>0</xdr:rowOff>
    </xdr:from>
    <xdr:to>
      <xdr:col>3</xdr:col>
      <xdr:colOff>619125</xdr:colOff>
      <xdr:row>65</xdr:row>
      <xdr:rowOff>133351</xdr:rowOff>
    </xdr:to>
    <xdr:pic>
      <xdr:nvPicPr>
        <xdr:cNvPr id="25003"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10602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8" name="Group 7"/>
        <xdr:cNvGrpSpPr/>
      </xdr:nvGrpSpPr>
      <xdr:grpSpPr>
        <a:xfrm>
          <a:off x="0" y="0"/>
          <a:ext cx="7380816"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8239" name="WordArt 47">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8240" name="WordArt 48">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8241" name="WordArt 49">
          <a:hlinkClick xmlns:r="http://schemas.openxmlformats.org/officeDocument/2006/relationships" r:id="rId3"/>
        </xdr:cNvPr>
        <xdr:cNvSpPr>
          <a:spLocks noChangeArrowheads="1" noChangeShapeType="1" noTextEdit="1"/>
        </xdr:cNvSpPr>
      </xdr:nvSpPr>
      <xdr:spPr bwMode="auto">
        <a:xfrm>
          <a:off x="6286500"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8242" name="WordArt 50">
          <a:hlinkClick xmlns:r="http://schemas.openxmlformats.org/officeDocument/2006/relationships" r:id="rId4"/>
        </xdr:cNvPr>
        <xdr:cNvSpPr>
          <a:spLocks noChangeArrowheads="1" noChangeShapeType="1" noTextEdit="1"/>
        </xdr:cNvSpPr>
      </xdr:nvSpPr>
      <xdr:spPr bwMode="auto">
        <a:xfrm>
          <a:off x="2695575" y="19050"/>
          <a:ext cx="13906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8243" name="WordArt 51">
          <a:hlinkClick xmlns:r="http://schemas.openxmlformats.org/officeDocument/2006/relationships" r:id="rId5"/>
        </xdr:cNvPr>
        <xdr:cNvSpPr>
          <a:spLocks noChangeArrowheads="1" noChangeShapeType="1" noTextEdit="1"/>
        </xdr:cNvSpPr>
      </xdr:nvSpPr>
      <xdr:spPr bwMode="auto">
        <a:xfrm>
          <a:off x="4343400" y="19050"/>
          <a:ext cx="1409700"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62</xdr:row>
      <xdr:rowOff>0</xdr:rowOff>
    </xdr:from>
    <xdr:to>
      <xdr:col>3</xdr:col>
      <xdr:colOff>619125</xdr:colOff>
      <xdr:row>65</xdr:row>
      <xdr:rowOff>133351</xdr:rowOff>
    </xdr:to>
    <xdr:pic>
      <xdr:nvPicPr>
        <xdr:cNvPr id="8613"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115550"/>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16" name="Group 15"/>
        <xdr:cNvGrpSpPr/>
      </xdr:nvGrpSpPr>
      <xdr:grpSpPr>
        <a:xfrm>
          <a:off x="0" y="0"/>
          <a:ext cx="7380816"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2"/>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 name="WordArt 40">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1419225</xdr:colOff>
      <xdr:row>0</xdr:row>
      <xdr:rowOff>19050</xdr:rowOff>
    </xdr:from>
    <xdr:to>
      <xdr:col>0</xdr:col>
      <xdr:colOff>2247900</xdr:colOff>
      <xdr:row>0</xdr:row>
      <xdr:rowOff>247650</xdr:rowOff>
    </xdr:to>
    <xdr:sp macro="" textlink="">
      <xdr:nvSpPr>
        <xdr:cNvPr id="3" name="WordArt 41">
          <a:hlinkClick xmlns:r="http://schemas.openxmlformats.org/officeDocument/2006/relationships" r:id="rId2"/>
        </xdr:cNvPr>
        <xdr:cNvSpPr>
          <a:spLocks noChangeArrowheads="1" noChangeShapeType="1" noTextEdit="1"/>
        </xdr:cNvSpPr>
      </xdr:nvSpPr>
      <xdr:spPr bwMode="auto">
        <a:xfrm>
          <a:off x="1419225" y="1905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7</xdr:col>
      <xdr:colOff>47625</xdr:colOff>
      <xdr:row>0</xdr:row>
      <xdr:rowOff>28575</xdr:rowOff>
    </xdr:from>
    <xdr:to>
      <xdr:col>7</xdr:col>
      <xdr:colOff>647700</xdr:colOff>
      <xdr:row>0</xdr:row>
      <xdr:rowOff>304800</xdr:rowOff>
    </xdr:to>
    <xdr:sp macro="" textlink="">
      <xdr:nvSpPr>
        <xdr:cNvPr id="4" name="WordArt 42">
          <a:hlinkClick xmlns:r="http://schemas.openxmlformats.org/officeDocument/2006/relationships" r:id="rId3"/>
        </xdr:cNvPr>
        <xdr:cNvSpPr>
          <a:spLocks noChangeArrowheads="1" noChangeShapeType="1" noTextEdit="1"/>
        </xdr:cNvSpPr>
      </xdr:nvSpPr>
      <xdr:spPr bwMode="auto">
        <a:xfrm>
          <a:off x="6715125" y="28575"/>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1</xdr:col>
      <xdr:colOff>361950</xdr:colOff>
      <xdr:row>0</xdr:row>
      <xdr:rowOff>19050</xdr:rowOff>
    </xdr:from>
    <xdr:to>
      <xdr:col>3</xdr:col>
      <xdr:colOff>390525</xdr:colOff>
      <xdr:row>0</xdr:row>
      <xdr:rowOff>257175</xdr:rowOff>
    </xdr:to>
    <xdr:sp macro="" textlink="">
      <xdr:nvSpPr>
        <xdr:cNvPr id="5" name="WordArt 43">
          <a:hlinkClick xmlns:r="http://schemas.openxmlformats.org/officeDocument/2006/relationships" r:id="rId4"/>
        </xdr:cNvPr>
        <xdr:cNvSpPr>
          <a:spLocks noChangeArrowheads="1" noChangeShapeType="1" noTextEdit="1"/>
        </xdr:cNvSpPr>
      </xdr:nvSpPr>
      <xdr:spPr bwMode="auto">
        <a:xfrm>
          <a:off x="2743200" y="19050"/>
          <a:ext cx="14573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xdr:from>
      <xdr:col>4</xdr:col>
      <xdr:colOff>76200</xdr:colOff>
      <xdr:row>0</xdr:row>
      <xdr:rowOff>19050</xdr:rowOff>
    </xdr:from>
    <xdr:to>
      <xdr:col>6</xdr:col>
      <xdr:colOff>161925</xdr:colOff>
      <xdr:row>0</xdr:row>
      <xdr:rowOff>323850</xdr:rowOff>
    </xdr:to>
    <xdr:sp macro="" textlink="">
      <xdr:nvSpPr>
        <xdr:cNvPr id="6" name="WordArt 44">
          <a:hlinkClick xmlns:r="http://schemas.openxmlformats.org/officeDocument/2006/relationships" r:id="rId5"/>
        </xdr:cNvPr>
        <xdr:cNvSpPr>
          <a:spLocks noChangeArrowheads="1" noChangeShapeType="1" noTextEdit="1"/>
        </xdr:cNvSpPr>
      </xdr:nvSpPr>
      <xdr:spPr bwMode="auto">
        <a:xfrm>
          <a:off x="4600575" y="19050"/>
          <a:ext cx="1514475" cy="304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CCCC"/>
              </a:solidFill>
              <a:effectLst/>
              <a:latin typeface="Arial Black"/>
            </a:rPr>
            <a:t>Comparative</a:t>
          </a:r>
        </a:p>
      </xdr:txBody>
    </xdr:sp>
    <xdr:clientData/>
  </xdr:twoCellAnchor>
  <xdr:twoCellAnchor editAs="oneCell">
    <xdr:from>
      <xdr:col>2</xdr:col>
      <xdr:colOff>0</xdr:colOff>
      <xdr:row>62</xdr:row>
      <xdr:rowOff>0</xdr:rowOff>
    </xdr:from>
    <xdr:to>
      <xdr:col>3</xdr:col>
      <xdr:colOff>619125</xdr:colOff>
      <xdr:row>65</xdr:row>
      <xdr:rowOff>133350</xdr:rowOff>
    </xdr:to>
    <xdr:pic>
      <xdr:nvPicPr>
        <xdr:cNvPr id="7" name="Picture 7" descr="TAMAgEXT.jpg"/>
        <xdr:cNvPicPr>
          <a:picLocks noChangeAspect="1"/>
        </xdr:cNvPicPr>
      </xdr:nvPicPr>
      <xdr:blipFill>
        <a:blip xmlns:r="http://schemas.openxmlformats.org/officeDocument/2006/relationships" r:embed="rId6" cstate="print"/>
        <a:srcRect/>
        <a:stretch>
          <a:fillRect/>
        </a:stretch>
      </xdr:blipFill>
      <xdr:spPr bwMode="auto">
        <a:xfrm>
          <a:off x="3095625" y="107727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38100</xdr:colOff>
      <xdr:row>0</xdr:row>
      <xdr:rowOff>381000</xdr:rowOff>
    </xdr:to>
    <xdr:grpSp>
      <xdr:nvGrpSpPr>
        <xdr:cNvPr id="8" name="Group 7"/>
        <xdr:cNvGrpSpPr/>
      </xdr:nvGrpSpPr>
      <xdr:grpSpPr>
        <a:xfrm>
          <a:off x="0" y="0"/>
          <a:ext cx="7305675"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1"/>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8"/>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4"/>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5"/>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9"/>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95250</xdr:colOff>
      <xdr:row>0</xdr:row>
      <xdr:rowOff>38100</xdr:rowOff>
    </xdr:from>
    <xdr:to>
      <xdr:col>7</xdr:col>
      <xdr:colOff>718405</xdr:colOff>
      <xdr:row>0</xdr:row>
      <xdr:rowOff>314325</xdr:rowOff>
    </xdr:to>
    <xdr:sp macro="" textlink="">
      <xdr:nvSpPr>
        <xdr:cNvPr id="4" name="WordArt 10">
          <a:hlinkClick xmlns:r="http://schemas.openxmlformats.org/officeDocument/2006/relationships" r:id="rId1"/>
        </xdr:cNvPr>
        <xdr:cNvSpPr>
          <a:spLocks noChangeArrowheads="1" noChangeShapeType="1" noTextEdit="1"/>
        </xdr:cNvSpPr>
      </xdr:nvSpPr>
      <xdr:spPr bwMode="auto">
        <a:xfrm>
          <a:off x="4362450" y="38100"/>
          <a:ext cx="516475" cy="131445"/>
        </a:xfrm>
        <a:prstGeom prst="rect">
          <a:avLst/>
        </a:prstGeom>
      </xdr:spPr>
      <xdr:txBody>
        <a:bodyPr wrap="none" fromWordArt="1">
          <a:prstTxWarp prst="textPlain">
            <a:avLst>
              <a:gd name="adj" fmla="val 50000"/>
            </a:avLst>
          </a:prstTxWarp>
        </a:bodyPr>
        <a:lstStyle/>
        <a:p>
          <a:pPr algn="ctr" rtl="0"/>
          <a:endParaRPr lang="en-US" sz="3600" kern="10" spc="0">
            <a:ln w="9525">
              <a:solidFill>
                <a:srgbClr val="000000"/>
              </a:solidFill>
              <a:round/>
              <a:headEnd/>
              <a:tailEnd/>
            </a:ln>
            <a:solidFill>
              <a:srgbClr val="FFFF00"/>
            </a:solidFill>
            <a:effectLst/>
            <a:latin typeface="Arial Black"/>
          </a:endParaRPr>
        </a:p>
      </xdr:txBody>
    </xdr:sp>
    <xdr:clientData/>
  </xdr:twoCellAnchor>
  <xdr:twoCellAnchor editAs="absolute">
    <xdr:from>
      <xdr:col>7</xdr:col>
      <xdr:colOff>628650</xdr:colOff>
      <xdr:row>1</xdr:row>
      <xdr:rowOff>314325</xdr:rowOff>
    </xdr:from>
    <xdr:to>
      <xdr:col>8</xdr:col>
      <xdr:colOff>1009650</xdr:colOff>
      <xdr:row>2</xdr:row>
      <xdr:rowOff>561975</xdr:rowOff>
    </xdr:to>
    <xdr:pic>
      <xdr:nvPicPr>
        <xdr:cNvPr id="57355" name="Picture 6" descr="TAMAgEXT.jpg"/>
        <xdr:cNvPicPr>
          <a:picLocks noChangeAspect="1"/>
        </xdr:cNvPicPr>
      </xdr:nvPicPr>
      <xdr:blipFill>
        <a:blip xmlns:r="http://schemas.openxmlformats.org/officeDocument/2006/relationships" r:embed="rId2" cstate="print"/>
        <a:srcRect/>
        <a:stretch>
          <a:fillRect/>
        </a:stretch>
      </xdr:blipFill>
      <xdr:spPr bwMode="auto">
        <a:xfrm>
          <a:off x="5248275" y="809625"/>
          <a:ext cx="1400175" cy="628650"/>
        </a:xfrm>
        <a:prstGeom prst="rect">
          <a:avLst/>
        </a:prstGeom>
        <a:noFill/>
        <a:ln w="9525">
          <a:noFill/>
          <a:miter lim="800000"/>
          <a:headEnd/>
          <a:tailEnd/>
        </a:ln>
      </xdr:spPr>
    </xdr:pic>
    <xdr:clientData/>
  </xdr:twoCellAnchor>
  <xdr:twoCellAnchor editAs="absolute">
    <xdr:from>
      <xdr:col>0</xdr:col>
      <xdr:colOff>0</xdr:colOff>
      <xdr:row>0</xdr:row>
      <xdr:rowOff>1</xdr:rowOff>
    </xdr:from>
    <xdr:to>
      <xdr:col>9</xdr:col>
      <xdr:colOff>114300</xdr:colOff>
      <xdr:row>0</xdr:row>
      <xdr:rowOff>428625</xdr:rowOff>
    </xdr:to>
    <xdr:grpSp>
      <xdr:nvGrpSpPr>
        <xdr:cNvPr id="6" name="Group 5"/>
        <xdr:cNvGrpSpPr/>
      </xdr:nvGrpSpPr>
      <xdr:grpSpPr>
        <a:xfrm>
          <a:off x="0" y="1"/>
          <a:ext cx="6267450" cy="428624"/>
          <a:chOff x="0" y="0"/>
          <a:chExt cx="6753224" cy="390524"/>
        </a:xfrm>
      </xdr:grpSpPr>
      <xdr:sp macro="" textlink="">
        <xdr:nvSpPr>
          <xdr:cNvPr id="8" name="Rectangle 7"/>
          <xdr:cNvSpPr/>
        </xdr:nvSpPr>
        <xdr:spPr bwMode="auto">
          <a:xfrm>
            <a:off x="0" y="0"/>
            <a:ext cx="6753224" cy="352237"/>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9" name="WordArt 1">
            <a:hlinkClick xmlns:r="http://schemas.openxmlformats.org/officeDocument/2006/relationships" r:id="rId3"/>
          </xdr:cNvPr>
          <xdr:cNvSpPr>
            <a:spLocks noChangeArrowheads="1" noChangeShapeType="1" noTextEdit="1"/>
          </xdr:cNvSpPr>
        </xdr:nvSpPr>
        <xdr:spPr bwMode="auto">
          <a:xfrm>
            <a:off x="224654" y="45944"/>
            <a:ext cx="634818" cy="271835"/>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0" name="Picture 9" descr="C:\Users\bridget.guerrero\AppData\Local\Microsoft\Windows\Temporary Internet Files\Content.IE5\0VV9XFXZ\MC900441428[1].png">
            <a:hlinkClick xmlns:r="http://schemas.openxmlformats.org/officeDocument/2006/relationships" r:id="rId1"/>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71995" y="45944"/>
            <a:ext cx="245076" cy="27293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WordArt 1">
            <a:hlinkClick xmlns:r="http://schemas.openxmlformats.org/officeDocument/2006/relationships" r:id="rId5"/>
          </xdr:cNvPr>
          <xdr:cNvSpPr>
            <a:spLocks noChangeArrowheads="1" noChangeShapeType="1" noTextEdit="1"/>
          </xdr:cNvSpPr>
        </xdr:nvSpPr>
        <xdr:spPr bwMode="auto">
          <a:xfrm>
            <a:off x="1375903" y="45944"/>
            <a:ext cx="701192" cy="271835"/>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6"/>
          </xdr:cNvPr>
          <xdr:cNvSpPr>
            <a:spLocks noChangeArrowheads="1" noChangeShapeType="1" noTextEdit="1"/>
          </xdr:cNvSpPr>
        </xdr:nvSpPr>
        <xdr:spPr bwMode="auto">
          <a:xfrm>
            <a:off x="2593526" y="45944"/>
            <a:ext cx="1556917" cy="329265"/>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4" name="WordArt 1">
            <a:hlinkClick xmlns:r="http://schemas.openxmlformats.org/officeDocument/2006/relationships" r:id="rId7"/>
          </xdr:cNvPr>
          <xdr:cNvSpPr>
            <a:spLocks noChangeArrowheads="1" noChangeShapeType="1" noTextEdit="1"/>
          </xdr:cNvSpPr>
        </xdr:nvSpPr>
        <xdr:spPr bwMode="auto">
          <a:xfrm>
            <a:off x="4666874" y="45944"/>
            <a:ext cx="1188691" cy="34458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twoCellAnchor editAs="absolute">
    <xdr:from>
      <xdr:col>0</xdr:col>
      <xdr:colOff>47625</xdr:colOff>
      <xdr:row>2</xdr:row>
      <xdr:rowOff>92177</xdr:rowOff>
    </xdr:from>
    <xdr:to>
      <xdr:col>7</xdr:col>
      <xdr:colOff>381000</xdr:colOff>
      <xdr:row>2</xdr:row>
      <xdr:rowOff>828675</xdr:rowOff>
    </xdr:to>
    <xdr:sp macro="" textlink="">
      <xdr:nvSpPr>
        <xdr:cNvPr id="15" name="TextBox 14"/>
        <xdr:cNvSpPr txBox="1"/>
      </xdr:nvSpPr>
      <xdr:spPr>
        <a:xfrm>
          <a:off x="47625" y="968477"/>
          <a:ext cx="4410075" cy="736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aseline="0">
              <a:latin typeface="+mn-lt"/>
            </a:rPr>
            <a:t>The commodity price needed to achieve a break-even point over either variable (those related to production) or total costs at various yield levels (75% to 125% of budgeted) is shown in this sheet. </a:t>
          </a:r>
        </a:p>
        <a:p>
          <a:endParaRPr lang="en-US" sz="200" baseline="0"/>
        </a:p>
        <a:p>
          <a:endParaRPr lang="en-US" sz="1100" b="1"/>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180975</xdr:colOff>
      <xdr:row>0</xdr:row>
      <xdr:rowOff>19050</xdr:rowOff>
    </xdr:from>
    <xdr:to>
      <xdr:col>0</xdr:col>
      <xdr:colOff>847725</xdr:colOff>
      <xdr:row>0</xdr:row>
      <xdr:rowOff>257175</xdr:rowOff>
    </xdr:to>
    <xdr:sp macro="" textlink="">
      <xdr:nvSpPr>
        <xdr:cNvPr id="27653" name="WordArt 5">
          <a:hlinkClick xmlns:r="http://schemas.openxmlformats.org/officeDocument/2006/relationships" r:id="rId1"/>
        </xdr:cNvPr>
        <xdr:cNvSpPr>
          <a:spLocks noChangeArrowheads="1" noChangeShapeType="1" noTextEdit="1"/>
        </xdr:cNvSpPr>
      </xdr:nvSpPr>
      <xdr:spPr bwMode="auto">
        <a:xfrm>
          <a:off x="180975" y="19050"/>
          <a:ext cx="666750"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8000"/>
              </a:solidFill>
              <a:effectLst/>
              <a:latin typeface="Arial Black"/>
            </a:rPr>
            <a:t>Menu</a:t>
          </a:r>
        </a:p>
      </xdr:txBody>
    </xdr:sp>
    <xdr:clientData/>
  </xdr:twoCellAnchor>
  <xdr:twoCellAnchor>
    <xdr:from>
      <xdr:col>0</xdr:col>
      <xdr:colOff>1695450</xdr:colOff>
      <xdr:row>0</xdr:row>
      <xdr:rowOff>38100</xdr:rowOff>
    </xdr:from>
    <xdr:to>
      <xdr:col>0</xdr:col>
      <xdr:colOff>2524125</xdr:colOff>
      <xdr:row>0</xdr:row>
      <xdr:rowOff>266700</xdr:rowOff>
    </xdr:to>
    <xdr:sp macro="" textlink="">
      <xdr:nvSpPr>
        <xdr:cNvPr id="27654" name="WordArt 6">
          <a:hlinkClick xmlns:r="http://schemas.openxmlformats.org/officeDocument/2006/relationships" r:id="rId2"/>
        </xdr:cNvPr>
        <xdr:cNvSpPr>
          <a:spLocks noChangeArrowheads="1" noChangeShapeType="1" noTextEdit="1"/>
        </xdr:cNvSpPr>
      </xdr:nvSpPr>
      <xdr:spPr bwMode="auto">
        <a:xfrm>
          <a:off x="1695450" y="38100"/>
          <a:ext cx="828675" cy="2286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0000FF"/>
              </a:solidFill>
              <a:effectLst/>
              <a:latin typeface="Arial Black"/>
            </a:rPr>
            <a:t>Prices</a:t>
          </a:r>
        </a:p>
      </xdr:txBody>
    </xdr:sp>
    <xdr:clientData/>
  </xdr:twoCellAnchor>
  <xdr:twoCellAnchor>
    <xdr:from>
      <xdr:col>3</xdr:col>
      <xdr:colOff>438150</xdr:colOff>
      <xdr:row>0</xdr:row>
      <xdr:rowOff>57150</xdr:rowOff>
    </xdr:from>
    <xdr:to>
      <xdr:col>4</xdr:col>
      <xdr:colOff>0</xdr:colOff>
      <xdr:row>0</xdr:row>
      <xdr:rowOff>333375</xdr:rowOff>
    </xdr:to>
    <xdr:sp macro="" textlink="">
      <xdr:nvSpPr>
        <xdr:cNvPr id="27655" name="WordArt 7">
          <a:hlinkClick xmlns:r="http://schemas.openxmlformats.org/officeDocument/2006/relationships" r:id="rId3"/>
        </xdr:cNvPr>
        <xdr:cNvSpPr>
          <a:spLocks noChangeArrowheads="1" noChangeShapeType="1" noTextEdit="1"/>
        </xdr:cNvSpPr>
      </xdr:nvSpPr>
      <xdr:spPr bwMode="auto">
        <a:xfrm>
          <a:off x="6191250" y="57150"/>
          <a:ext cx="600075" cy="2762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00"/>
              </a:solidFill>
              <a:effectLst/>
              <a:latin typeface="Arial Black"/>
            </a:rPr>
            <a:t>Help</a:t>
          </a:r>
        </a:p>
      </xdr:txBody>
    </xdr:sp>
    <xdr:clientData/>
  </xdr:twoCellAnchor>
  <xdr:twoCellAnchor>
    <xdr:from>
      <xdr:col>0</xdr:col>
      <xdr:colOff>3219450</xdr:colOff>
      <xdr:row>0</xdr:row>
      <xdr:rowOff>38100</xdr:rowOff>
    </xdr:from>
    <xdr:to>
      <xdr:col>2</xdr:col>
      <xdr:colOff>438150</xdr:colOff>
      <xdr:row>0</xdr:row>
      <xdr:rowOff>276225</xdr:rowOff>
    </xdr:to>
    <xdr:sp macro="" textlink="">
      <xdr:nvSpPr>
        <xdr:cNvPr id="27656" name="WordArt 8">
          <a:hlinkClick xmlns:r="http://schemas.openxmlformats.org/officeDocument/2006/relationships" r:id="rId4"/>
        </xdr:cNvPr>
        <xdr:cNvSpPr>
          <a:spLocks noChangeArrowheads="1" noChangeShapeType="1" noTextEdit="1"/>
        </xdr:cNvSpPr>
      </xdr:nvSpPr>
      <xdr:spPr bwMode="auto">
        <a:xfrm>
          <a:off x="3219450" y="38100"/>
          <a:ext cx="1990725" cy="23812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993366"/>
              </a:solidFill>
              <a:effectLst/>
              <a:latin typeface="Arial Black"/>
            </a:rPr>
            <a:t>Break-even</a:t>
          </a:r>
        </a:p>
      </xdr:txBody>
    </xdr:sp>
    <xdr:clientData/>
  </xdr:twoCellAnchor>
  <xdr:twoCellAnchor editAs="oneCell">
    <xdr:from>
      <xdr:col>0</xdr:col>
      <xdr:colOff>85725</xdr:colOff>
      <xdr:row>4</xdr:row>
      <xdr:rowOff>114300</xdr:rowOff>
    </xdr:from>
    <xdr:to>
      <xdr:col>0</xdr:col>
      <xdr:colOff>1419225</xdr:colOff>
      <xdr:row>6</xdr:row>
      <xdr:rowOff>0</xdr:rowOff>
    </xdr:to>
    <xdr:pic>
      <xdr:nvPicPr>
        <xdr:cNvPr id="63493" name="Picture 6" descr="TAMAgEXT.jpg"/>
        <xdr:cNvPicPr>
          <a:picLocks noChangeAspect="1"/>
        </xdr:cNvPicPr>
      </xdr:nvPicPr>
      <xdr:blipFill>
        <a:blip xmlns:r="http://schemas.openxmlformats.org/officeDocument/2006/relationships" r:embed="rId5" cstate="print"/>
        <a:srcRect/>
        <a:stretch>
          <a:fillRect/>
        </a:stretch>
      </xdr:blipFill>
      <xdr:spPr bwMode="auto">
        <a:xfrm>
          <a:off x="85725" y="1076325"/>
          <a:ext cx="1333500" cy="6191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9525</xdr:colOff>
      <xdr:row>0</xdr:row>
      <xdr:rowOff>381000</xdr:rowOff>
    </xdr:to>
    <xdr:grpSp>
      <xdr:nvGrpSpPr>
        <xdr:cNvPr id="2" name="Group 1"/>
        <xdr:cNvGrpSpPr/>
      </xdr:nvGrpSpPr>
      <xdr:grpSpPr>
        <a:xfrm>
          <a:off x="0" y="0"/>
          <a:ext cx="6829425" cy="381000"/>
          <a:chOff x="0" y="0"/>
          <a:chExt cx="6867525" cy="381000"/>
        </a:xfrm>
      </xdr:grpSpPr>
      <xdr:sp macro="" textlink="">
        <xdr:nvSpPr>
          <xdr:cNvPr id="17" name="Rectangle 16"/>
          <xdr:cNvSpPr/>
        </xdr:nvSpPr>
        <xdr:spPr bwMode="auto">
          <a:xfrm>
            <a:off x="0" y="0"/>
            <a:ext cx="6867525" cy="343647"/>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1"/>
          </xdr:cNvPr>
          <xdr:cNvSpPr>
            <a:spLocks noChangeArrowheads="1" noChangeShapeType="1" noTextEdit="1"/>
          </xdr:cNvSpPr>
        </xdr:nvSpPr>
        <xdr:spPr bwMode="auto">
          <a:xfrm>
            <a:off x="228456" y="44824"/>
            <a:ext cx="645562" cy="265206"/>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479843" y="44824"/>
            <a:ext cx="249224" cy="26627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2"/>
          </xdr:cNvPr>
          <xdr:cNvSpPr>
            <a:spLocks noChangeArrowheads="1" noChangeShapeType="1" noTextEdit="1"/>
          </xdr:cNvSpPr>
        </xdr:nvSpPr>
        <xdr:spPr bwMode="auto">
          <a:xfrm>
            <a:off x="1452323" y="44824"/>
            <a:ext cx="713060" cy="265206"/>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4"/>
          </xdr:cNvPr>
          <xdr:cNvSpPr>
            <a:spLocks noChangeArrowheads="1" noChangeShapeType="1" noTextEdit="1"/>
          </xdr:cNvSpPr>
        </xdr:nvSpPr>
        <xdr:spPr bwMode="auto">
          <a:xfrm>
            <a:off x="2743688" y="44824"/>
            <a:ext cx="1370736" cy="268941"/>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3" name="WordArt 1">
            <a:hlinkClick xmlns:r="http://schemas.openxmlformats.org/officeDocument/2006/relationships" r:id="rId7"/>
          </xdr:cNvPr>
          <xdr:cNvSpPr>
            <a:spLocks noChangeArrowheads="1" noChangeShapeType="1" noTextEdit="1"/>
          </xdr:cNvSpPr>
        </xdr:nvSpPr>
        <xdr:spPr bwMode="auto">
          <a:xfrm>
            <a:off x="4692729" y="44824"/>
            <a:ext cx="1208810" cy="336176"/>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380999</xdr:colOff>
      <xdr:row>0</xdr:row>
      <xdr:rowOff>375209</xdr:rowOff>
    </xdr:to>
    <xdr:grpSp>
      <xdr:nvGrpSpPr>
        <xdr:cNvPr id="19" name="Group 18"/>
        <xdr:cNvGrpSpPr/>
      </xdr:nvGrpSpPr>
      <xdr:grpSpPr>
        <a:xfrm>
          <a:off x="0" y="0"/>
          <a:ext cx="6781799" cy="375209"/>
          <a:chOff x="0" y="0"/>
          <a:chExt cx="6772274" cy="375209"/>
        </a:xfrm>
      </xdr:grpSpPr>
      <xdr:sp macro="" textlink="">
        <xdr:nvSpPr>
          <xdr:cNvPr id="12" name="Rectangle 11"/>
          <xdr:cNvSpPr/>
        </xdr:nvSpPr>
        <xdr:spPr bwMode="auto">
          <a:xfrm>
            <a:off x="0" y="0"/>
            <a:ext cx="6772274" cy="352237"/>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3" name="WordArt 1">
            <a:hlinkClick xmlns:r="http://schemas.openxmlformats.org/officeDocument/2006/relationships" r:id="rId1"/>
          </xdr:cNvPr>
          <xdr:cNvSpPr>
            <a:spLocks noChangeArrowheads="1" noChangeShapeType="1" noTextEdit="1"/>
          </xdr:cNvSpPr>
        </xdr:nvSpPr>
        <xdr:spPr bwMode="auto">
          <a:xfrm>
            <a:off x="225287" y="45944"/>
            <a:ext cx="636608" cy="271835"/>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4" name="Picture 13" descr="C:\Users\bridget.guerrero\AppData\Local\Microsoft\Windows\Temporary Internet Files\Content.IE5\0VV9XFXZ\MC900441428[1].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89969" y="45944"/>
            <a:ext cx="245767" cy="27293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WordArt 1">
            <a:hlinkClick xmlns:r="http://schemas.openxmlformats.org/officeDocument/2006/relationships" r:id="rId4"/>
          </xdr:cNvPr>
          <xdr:cNvSpPr>
            <a:spLocks noChangeArrowheads="1" noChangeShapeType="1" noTextEdit="1"/>
          </xdr:cNvSpPr>
        </xdr:nvSpPr>
        <xdr:spPr bwMode="auto">
          <a:xfrm>
            <a:off x="1339863" y="45944"/>
            <a:ext cx="703170" cy="271835"/>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6" name="WordArt 1">
            <a:hlinkClick xmlns:r="http://schemas.openxmlformats.org/officeDocument/2006/relationships" r:id="rId5"/>
          </xdr:cNvPr>
          <xdr:cNvSpPr>
            <a:spLocks noChangeArrowheads="1" noChangeShapeType="1" noTextEdit="1"/>
          </xdr:cNvSpPr>
        </xdr:nvSpPr>
        <xdr:spPr bwMode="auto">
          <a:xfrm>
            <a:off x="2521001" y="45944"/>
            <a:ext cx="1351724" cy="275664"/>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7" name="WordArt 1">
            <a:hlinkClick xmlns:r="http://schemas.openxmlformats.org/officeDocument/2006/relationships" r:id="rId6"/>
          </xdr:cNvPr>
          <xdr:cNvSpPr>
            <a:spLocks noChangeArrowheads="1" noChangeShapeType="1" noTextEdit="1"/>
          </xdr:cNvSpPr>
        </xdr:nvSpPr>
        <xdr:spPr bwMode="auto">
          <a:xfrm>
            <a:off x="4350693" y="45944"/>
            <a:ext cx="1561309" cy="329265"/>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grpSp>
    <xdr:clientData/>
  </xdr:twoCellAnchor>
  <xdr:twoCellAnchor editAs="oneCell">
    <xdr:from>
      <xdr:col>4</xdr:col>
      <xdr:colOff>161925</xdr:colOff>
      <xdr:row>3</xdr:row>
      <xdr:rowOff>38100</xdr:rowOff>
    </xdr:from>
    <xdr:to>
      <xdr:col>5</xdr:col>
      <xdr:colOff>695325</xdr:colOff>
      <xdr:row>6</xdr:row>
      <xdr:rowOff>85725</xdr:rowOff>
    </xdr:to>
    <xdr:pic>
      <xdr:nvPicPr>
        <xdr:cNvPr id="20" name="Picture 6" descr="TAMAgEXT.jpg"/>
        <xdr:cNvPicPr>
          <a:picLocks noChangeAspect="1"/>
        </xdr:cNvPicPr>
      </xdr:nvPicPr>
      <xdr:blipFill>
        <a:blip xmlns:r="http://schemas.openxmlformats.org/officeDocument/2006/relationships" r:embed="rId7" cstate="print"/>
        <a:srcRect/>
        <a:stretch>
          <a:fillRect/>
        </a:stretch>
      </xdr:blipFill>
      <xdr:spPr bwMode="auto">
        <a:xfrm>
          <a:off x="2857500" y="800100"/>
          <a:ext cx="1333500" cy="619125"/>
        </a:xfrm>
        <a:prstGeom prst="rect">
          <a:avLst/>
        </a:prstGeom>
        <a:noFill/>
        <a:ln w="9525">
          <a:noFill/>
          <a:miter lim="800000"/>
          <a:headEnd/>
          <a:tailEnd/>
        </a:ln>
      </xdr:spPr>
    </xdr:pic>
    <xdr:clientData/>
  </xdr:twoCellAnchor>
  <xdr:twoCellAnchor editAs="oneCell">
    <xdr:from>
      <xdr:col>0</xdr:col>
      <xdr:colOff>66675</xdr:colOff>
      <xdr:row>33</xdr:row>
      <xdr:rowOff>57150</xdr:rowOff>
    </xdr:from>
    <xdr:to>
      <xdr:col>6</xdr:col>
      <xdr:colOff>228600</xdr:colOff>
      <xdr:row>40</xdr:row>
      <xdr:rowOff>60960</xdr:rowOff>
    </xdr:to>
    <xdr:sp macro="" textlink="">
      <xdr:nvSpPr>
        <xdr:cNvPr id="2" name="TextBox 1"/>
        <xdr:cNvSpPr txBox="1"/>
      </xdr:nvSpPr>
      <xdr:spPr>
        <a:xfrm>
          <a:off x="66675" y="4552950"/>
          <a:ext cx="6196965" cy="117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Enter estimated well GPM, available acres under pivot, and your desired planting circle size. These numbers, along with crop GPM per acre (calculated  from the acre-inches applied in the budgets) and data from your individual crop budgets (listed at the left and linked back if you need to make changes) are used to determine return over variable costs on irrigated land only, and then irrigated land with various dryland combinations.  The optimal combination among all crops evaluated is highlighted in yellow.  Links to graphs that summarize the data are also provided.   </a:t>
          </a:r>
        </a:p>
      </xdr:txBody>
    </xdr:sp>
    <xdr:clientData/>
  </xdr:twoCellAnchor>
  <xdr:oneCellAnchor>
    <xdr:from>
      <xdr:col>4</xdr:col>
      <xdr:colOff>185316</xdr:colOff>
      <xdr:row>6</xdr:row>
      <xdr:rowOff>169362</xdr:rowOff>
    </xdr:from>
    <xdr:ext cx="1129134" cy="593239"/>
    <xdr:sp macro="" textlink="">
      <xdr:nvSpPr>
        <xdr:cNvPr id="6" name="Rectangle 5">
          <a:hlinkClick xmlns:r="http://schemas.openxmlformats.org/officeDocument/2006/relationships" r:id="rId8"/>
        </xdr:cNvPr>
        <xdr:cNvSpPr/>
      </xdr:nvSpPr>
      <xdr:spPr>
        <a:xfrm>
          <a:off x="3700041" y="1674312"/>
          <a:ext cx="1129134" cy="593239"/>
        </a:xfrm>
        <a:prstGeom prst="rect">
          <a:avLst/>
        </a:prstGeom>
        <a:solidFill>
          <a:schemeClr val="accent2">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wrap="square" lIns="91440" tIns="45720" rIns="91440" bIns="45720">
          <a:spAutoFit/>
        </a:bodyPr>
        <a:lstStyle/>
        <a:p>
          <a:pPr algn="ct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Graph</a:t>
          </a:r>
        </a:p>
        <a:p>
          <a:pPr algn="ct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ROV/ac.in.</a:t>
          </a:r>
        </a:p>
      </xdr:txBody>
    </xdr:sp>
    <xdr:clientData/>
  </xdr:oneCellAnchor>
  <xdr:oneCellAnchor>
    <xdr:from>
      <xdr:col>6</xdr:col>
      <xdr:colOff>93705</xdr:colOff>
      <xdr:row>6</xdr:row>
      <xdr:rowOff>150310</xdr:rowOff>
    </xdr:from>
    <xdr:ext cx="1041311" cy="593239"/>
    <xdr:sp macro="" textlink="">
      <xdr:nvSpPr>
        <xdr:cNvPr id="7" name="Rectangle 6">
          <a:hlinkClick xmlns:r="http://schemas.openxmlformats.org/officeDocument/2006/relationships" r:id="rId9"/>
        </xdr:cNvPr>
        <xdr:cNvSpPr/>
      </xdr:nvSpPr>
      <xdr:spPr>
        <a:xfrm>
          <a:off x="5122905" y="1655260"/>
          <a:ext cx="1041311" cy="593239"/>
        </a:xfrm>
        <a:prstGeom prst="rect">
          <a:avLst/>
        </a:prstGeom>
        <a:solidFill>
          <a:schemeClr val="accent3">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wrap="none" lIns="91440" tIns="45720" rIns="91440" bIns="45720">
          <a:spAutoFit/>
        </a:bodyPr>
        <a:lstStyle/>
        <a:p>
          <a:pPr algn="ct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Graph</a:t>
          </a:r>
        </a:p>
        <a:p>
          <a:pPr algn="ctr"/>
          <a:r>
            <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Total</a:t>
          </a:r>
          <a:r>
            <a:rPr lang="en-US" sz="16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ROV</a:t>
          </a:r>
          <a:endParaRPr 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1167433</xdr:colOff>
      <xdr:row>40</xdr:row>
      <xdr:rowOff>110987</xdr:rowOff>
    </xdr:from>
    <xdr:to>
      <xdr:col>2</xdr:col>
      <xdr:colOff>30645</xdr:colOff>
      <xdr:row>44</xdr:row>
      <xdr:rowOff>72886</xdr:rowOff>
    </xdr:to>
    <xdr:pic>
      <xdr:nvPicPr>
        <xdr:cNvPr id="62469" name="Picture 6" descr="TAMAgEXT.jpg"/>
        <xdr:cNvPicPr>
          <a:picLocks noChangeAspect="1"/>
        </xdr:cNvPicPr>
      </xdr:nvPicPr>
      <xdr:blipFill>
        <a:blip xmlns:r="http://schemas.openxmlformats.org/officeDocument/2006/relationships" r:embed="rId1" cstate="print"/>
        <a:srcRect/>
        <a:stretch>
          <a:fillRect/>
        </a:stretch>
      </xdr:blipFill>
      <xdr:spPr bwMode="auto">
        <a:xfrm>
          <a:off x="1167433" y="6480313"/>
          <a:ext cx="1339712" cy="624508"/>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10</xdr:col>
      <xdr:colOff>7620</xdr:colOff>
      <xdr:row>0</xdr:row>
      <xdr:rowOff>388620</xdr:rowOff>
    </xdr:to>
    <xdr:grpSp>
      <xdr:nvGrpSpPr>
        <xdr:cNvPr id="2" name="Group 1"/>
        <xdr:cNvGrpSpPr/>
      </xdr:nvGrpSpPr>
      <xdr:grpSpPr>
        <a:xfrm>
          <a:off x="0" y="0"/>
          <a:ext cx="7713345" cy="388620"/>
          <a:chOff x="0" y="0"/>
          <a:chExt cx="7727011" cy="385307"/>
        </a:xfrm>
      </xdr:grpSpPr>
      <xdr:sp macro="" textlink="">
        <xdr:nvSpPr>
          <xdr:cNvPr id="16" name="Rectangle 15"/>
          <xdr:cNvSpPr/>
        </xdr:nvSpPr>
        <xdr:spPr bwMode="auto">
          <a:xfrm>
            <a:off x="0" y="0"/>
            <a:ext cx="7727011" cy="347532"/>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7" name="WordArt 1">
            <a:hlinkClick xmlns:r="http://schemas.openxmlformats.org/officeDocument/2006/relationships" r:id="rId2"/>
          </xdr:cNvPr>
          <xdr:cNvSpPr>
            <a:spLocks noChangeArrowheads="1" noChangeShapeType="1" noTextEdit="1"/>
          </xdr:cNvSpPr>
        </xdr:nvSpPr>
        <xdr:spPr bwMode="auto">
          <a:xfrm>
            <a:off x="257048" y="45330"/>
            <a:ext cx="726356" cy="268204"/>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8" name="Picture 17"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90810" y="45330"/>
            <a:ext cx="280415" cy="2692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5"/>
          </xdr:cNvPr>
          <xdr:cNvSpPr>
            <a:spLocks noChangeArrowheads="1" noChangeShapeType="1" noTextEdit="1"/>
          </xdr:cNvSpPr>
        </xdr:nvSpPr>
        <xdr:spPr bwMode="auto">
          <a:xfrm>
            <a:off x="1389306" y="45330"/>
            <a:ext cx="1542286" cy="271981"/>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1" name="WordArt 1">
            <a:hlinkClick xmlns:r="http://schemas.openxmlformats.org/officeDocument/2006/relationships" r:id="rId6"/>
          </xdr:cNvPr>
          <xdr:cNvSpPr>
            <a:spLocks noChangeArrowheads="1" noChangeShapeType="1" noTextEdit="1"/>
          </xdr:cNvSpPr>
        </xdr:nvSpPr>
        <xdr:spPr bwMode="auto">
          <a:xfrm>
            <a:off x="3337494" y="45330"/>
            <a:ext cx="1781418" cy="324867"/>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2" name="WordArt 1">
            <a:hlinkClick xmlns:r="http://schemas.openxmlformats.org/officeDocument/2006/relationships" r:id="rId7"/>
          </xdr:cNvPr>
          <xdr:cNvSpPr>
            <a:spLocks noChangeArrowheads="1" noChangeShapeType="1" noTextEdit="1"/>
          </xdr:cNvSpPr>
        </xdr:nvSpPr>
        <xdr:spPr bwMode="auto">
          <a:xfrm>
            <a:off x="5524814" y="45330"/>
            <a:ext cx="1360095" cy="339977"/>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215265</xdr:colOff>
      <xdr:row>51</xdr:row>
      <xdr:rowOff>22859</xdr:rowOff>
    </xdr:from>
    <xdr:to>
      <xdr:col>21</xdr:col>
      <xdr:colOff>43815</xdr:colOff>
      <xdr:row>85</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12</xdr:col>
      <xdr:colOff>0</xdr:colOff>
      <xdr:row>0</xdr:row>
      <xdr:rowOff>381000</xdr:rowOff>
    </xdr:to>
    <xdr:grpSp>
      <xdr:nvGrpSpPr>
        <xdr:cNvPr id="4" name="Group 3"/>
        <xdr:cNvGrpSpPr/>
      </xdr:nvGrpSpPr>
      <xdr:grpSpPr>
        <a:xfrm>
          <a:off x="0" y="0"/>
          <a:ext cx="7315200" cy="381000"/>
          <a:chOff x="0" y="0"/>
          <a:chExt cx="7559040" cy="388620"/>
        </a:xfrm>
      </xdr:grpSpPr>
      <xdr:sp macro="" textlink="">
        <xdr:nvSpPr>
          <xdr:cNvPr id="5" name="Rectangle 4"/>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6"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7" name="Picture 6"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9"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0"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1"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twoCellAnchor editAs="oneCell">
    <xdr:from>
      <xdr:col>0</xdr:col>
      <xdr:colOff>190500</xdr:colOff>
      <xdr:row>2</xdr:row>
      <xdr:rowOff>57150</xdr:rowOff>
    </xdr:from>
    <xdr:to>
      <xdr:col>2</xdr:col>
      <xdr:colOff>304800</xdr:colOff>
      <xdr:row>6</xdr:row>
      <xdr:rowOff>28575</xdr:rowOff>
    </xdr:to>
    <xdr:pic>
      <xdr:nvPicPr>
        <xdr:cNvPr id="12" name="Picture 6" descr="TAMAgEXT.jpg"/>
        <xdr:cNvPicPr>
          <a:picLocks noChangeAspect="1"/>
        </xdr:cNvPicPr>
      </xdr:nvPicPr>
      <xdr:blipFill>
        <a:blip xmlns:r="http://schemas.openxmlformats.org/officeDocument/2006/relationships" r:embed="rId9" cstate="print"/>
        <a:srcRect/>
        <a:stretch>
          <a:fillRect/>
        </a:stretch>
      </xdr:blipFill>
      <xdr:spPr bwMode="auto">
        <a:xfrm>
          <a:off x="190500" y="561975"/>
          <a:ext cx="1333500" cy="619125"/>
        </a:xfrm>
        <a:prstGeom prst="rect">
          <a:avLst/>
        </a:prstGeom>
        <a:noFill/>
        <a:ln w="9525">
          <a:noFill/>
          <a:miter lim="800000"/>
          <a:headEnd/>
          <a:tailEnd/>
        </a:ln>
      </xdr:spPr>
    </xdr:pic>
    <xdr:clientData/>
  </xdr:twoCellAnchor>
  <xdr:twoCellAnchor>
    <xdr:from>
      <xdr:col>0</xdr:col>
      <xdr:colOff>228599</xdr:colOff>
      <xdr:row>8</xdr:row>
      <xdr:rowOff>100966</xdr:rowOff>
    </xdr:from>
    <xdr:to>
      <xdr:col>21</xdr:col>
      <xdr:colOff>47624</xdr:colOff>
      <xdr:row>42</xdr:row>
      <xdr:rowOff>1905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335280</xdr:colOff>
      <xdr:row>1</xdr:row>
      <xdr:rowOff>102870</xdr:rowOff>
    </xdr:from>
    <xdr:to>
      <xdr:col>17</xdr:col>
      <xdr:colOff>441960</xdr:colOff>
      <xdr:row>8</xdr:row>
      <xdr:rowOff>0</xdr:rowOff>
    </xdr:to>
    <xdr:sp macro="" textlink="">
      <xdr:nvSpPr>
        <xdr:cNvPr id="2" name="TextBox 1"/>
        <xdr:cNvSpPr txBox="1"/>
      </xdr:nvSpPr>
      <xdr:spPr>
        <a:xfrm>
          <a:off x="2164080" y="512445"/>
          <a:ext cx="8641080" cy="1030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t>Return over variable costs (ROVC) per acre-inch of water applied is shown in Figure 1.  ROVC is calculated by subtracting a producer's variable production expenses (seed, fertilizer, chemicals, fuel, repairs, etc.) by total crop revenue.  This number is then divided by the amount of irrigation applied to each crop on a per acre basis, which determines the return per acre-inch of water.  Typically, crops with greater returns (and therefore taller bars on the graph below) will exhibit a higher profit potential.  The actual numbers related to this figure can be seen in the irrigation analysis tab.</a:t>
          </a:r>
          <a:endParaRPr lang="en-US" sz="1200"/>
        </a:p>
      </xdr:txBody>
    </xdr:sp>
    <xdr:clientData/>
  </xdr:twoCellAnchor>
  <xdr:oneCellAnchor>
    <xdr:from>
      <xdr:col>0</xdr:col>
      <xdr:colOff>508635</xdr:colOff>
      <xdr:row>42</xdr:row>
      <xdr:rowOff>133350</xdr:rowOff>
    </xdr:from>
    <xdr:ext cx="10292715" cy="1182631"/>
    <xdr:sp macro="" textlink="">
      <xdr:nvSpPr>
        <xdr:cNvPr id="14" name="TextBox 13"/>
        <xdr:cNvSpPr txBox="1"/>
      </xdr:nvSpPr>
      <xdr:spPr>
        <a:xfrm>
          <a:off x="508635" y="7219950"/>
          <a:ext cx="10292715" cy="1182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27432" bIns="27432" rtlCol="0" anchor="t">
          <a:spAutoFit/>
        </a:bodyPr>
        <a:lstStyle/>
        <a:p>
          <a:r>
            <a:rPr lang="en-US" sz="1200"/>
            <a:t>Total return over variable</a:t>
          </a:r>
          <a:r>
            <a:rPr lang="en-US" sz="1200" baseline="0"/>
            <a:t> costs (ROVC) at different irrigated and dryland cropping combinations is displayed in Figure 2.  The white bar exhibits a particular crop's ROVC on irrigated land ONLY.  If the operation is able to utilize 100% of its land for irrigated crops, then no other bars are visible.  However, if a producer does not have enough water to fully irrigate, dryland crop enterprises are added to help determine the optimal planting arrangement.  Each dryland crop combination represents a different colored bar, which are identified in the legend at the bottom of the graph.  These bars show the TOTAL projected return when the ROVC for irrigated land (white bar) is added to the ROVC for various dryland crops.  Typically, the tallest bar under each crop enterprise has the highest profit potential, and would therefore yield the optimal planting arrangement.  The actual numbers related to this figure can be seen in the irrigation analysis tab.</a:t>
          </a:r>
          <a:endParaRPr lang="en-US" sz="1200"/>
        </a:p>
      </xdr:txBody>
    </xdr:sp>
    <xdr:clientData/>
  </xdr:oneCellAnchor>
</xdr:wsDr>
</file>

<file path=xl/drawings/drawing31.xml><?xml version="1.0" encoding="utf-8"?>
<c:userShapes xmlns:c="http://schemas.openxmlformats.org/drawingml/2006/chart">
  <cdr:relSizeAnchor xmlns:cdr="http://schemas.openxmlformats.org/drawingml/2006/chartDrawing">
    <cdr:from>
      <cdr:x>0.13078</cdr:x>
      <cdr:y>0.00541</cdr:y>
    </cdr:from>
    <cdr:to>
      <cdr:x>0.923</cdr:x>
      <cdr:y>0.08344</cdr:y>
    </cdr:to>
    <cdr:sp macro="" textlink="">
      <cdr:nvSpPr>
        <cdr:cNvPr id="66561" name="Text Box 1"/>
        <cdr:cNvSpPr txBox="1">
          <a:spLocks xmlns:a="http://schemas.openxmlformats.org/drawingml/2006/main" noChangeArrowheads="1"/>
        </cdr:cNvSpPr>
      </cdr:nvSpPr>
      <cdr:spPr bwMode="auto">
        <a:xfrm xmlns:a="http://schemas.openxmlformats.org/drawingml/2006/main">
          <a:off x="954406" y="26543"/>
          <a:ext cx="5781675" cy="3830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ctr" rtl="0">
            <a:defRPr sz="1000"/>
          </a:pPr>
          <a:r>
            <a:rPr lang="en-US" sz="1600" b="1" i="0" strike="noStrike">
              <a:solidFill>
                <a:sysClr val="windowText" lastClr="000000"/>
              </a:solidFill>
              <a:latin typeface="Calibri"/>
            </a:rPr>
            <a:t>Figure 2.  Return Over</a:t>
          </a:r>
          <a:r>
            <a:rPr lang="en-US" sz="1600" b="1" i="0" strike="noStrike" baseline="0">
              <a:solidFill>
                <a:sysClr val="windowText" lastClr="000000"/>
              </a:solidFill>
              <a:latin typeface="Calibri"/>
            </a:rPr>
            <a:t> Variable Costs with</a:t>
          </a:r>
          <a:r>
            <a:rPr lang="en-US" sz="1600" b="1" i="0" strike="noStrike">
              <a:solidFill>
                <a:sysClr val="windowText" lastClr="000000"/>
              </a:solidFill>
              <a:latin typeface="Calibri"/>
            </a:rPr>
            <a:t> Various</a:t>
          </a:r>
          <a:r>
            <a:rPr lang="en-US" sz="1600" b="1" i="0" strike="noStrike" baseline="0">
              <a:solidFill>
                <a:sysClr val="windowText" lastClr="000000"/>
              </a:solidFill>
              <a:latin typeface="Calibri"/>
            </a:rPr>
            <a:t> </a:t>
          </a:r>
          <a:r>
            <a:rPr lang="en-US" sz="1600" b="1" i="0" strike="noStrike">
              <a:solidFill>
                <a:sysClr val="windowText" lastClr="000000"/>
              </a:solidFill>
              <a:latin typeface="Calibri"/>
            </a:rPr>
            <a:t>Irrigated and Dryland Combinations </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2</xdr:col>
      <xdr:colOff>0</xdr:colOff>
      <xdr:row>67</xdr:row>
      <xdr:rowOff>0</xdr:rowOff>
    </xdr:from>
    <xdr:to>
      <xdr:col>3</xdr:col>
      <xdr:colOff>619125</xdr:colOff>
      <xdr:row>70</xdr:row>
      <xdr:rowOff>133351</xdr:rowOff>
    </xdr:to>
    <xdr:pic>
      <xdr:nvPicPr>
        <xdr:cNvPr id="34208"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095625" y="102774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21167</xdr:colOff>
      <xdr:row>0</xdr:row>
      <xdr:rowOff>381000</xdr:rowOff>
    </xdr:to>
    <xdr:grpSp>
      <xdr:nvGrpSpPr>
        <xdr:cNvPr id="19" name="Group 18"/>
        <xdr:cNvGrpSpPr/>
      </xdr:nvGrpSpPr>
      <xdr:grpSpPr>
        <a:xfrm>
          <a:off x="0" y="0"/>
          <a:ext cx="7355417" cy="381000"/>
          <a:chOff x="0" y="0"/>
          <a:chExt cx="7559040" cy="388620"/>
        </a:xfrm>
      </xdr:grpSpPr>
      <xdr:sp macro="" textlink="">
        <xdr:nvSpPr>
          <xdr:cNvPr id="20" name="Rectangle 19"/>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1"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22" name="Picture 21"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3"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4"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5"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6"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67</xdr:row>
      <xdr:rowOff>0</xdr:rowOff>
    </xdr:from>
    <xdr:to>
      <xdr:col>3</xdr:col>
      <xdr:colOff>619125</xdr:colOff>
      <xdr:row>70</xdr:row>
      <xdr:rowOff>133351</xdr:rowOff>
    </xdr:to>
    <xdr:pic>
      <xdr:nvPicPr>
        <xdr:cNvPr id="23980"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095625" y="104298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24" name="Group 23"/>
        <xdr:cNvGrpSpPr/>
      </xdr:nvGrpSpPr>
      <xdr:grpSpPr>
        <a:xfrm>
          <a:off x="0" y="0"/>
          <a:ext cx="7380816" cy="381000"/>
          <a:chOff x="0" y="0"/>
          <a:chExt cx="7559040" cy="388620"/>
        </a:xfrm>
      </xdr:grpSpPr>
      <xdr:sp macro="" textlink="">
        <xdr:nvSpPr>
          <xdr:cNvPr id="25" name="Rectangle 24"/>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6"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27" name="Picture 26"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8"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9"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30"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31"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65</xdr:row>
      <xdr:rowOff>0</xdr:rowOff>
    </xdr:from>
    <xdr:to>
      <xdr:col>3</xdr:col>
      <xdr:colOff>619125</xdr:colOff>
      <xdr:row>68</xdr:row>
      <xdr:rowOff>133350</xdr:rowOff>
    </xdr:to>
    <xdr:pic>
      <xdr:nvPicPr>
        <xdr:cNvPr id="10988"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095625" y="1037272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25400</xdr:colOff>
      <xdr:row>0</xdr:row>
      <xdr:rowOff>381000</xdr:rowOff>
    </xdr:to>
    <xdr:grpSp>
      <xdr:nvGrpSpPr>
        <xdr:cNvPr id="24" name="Group 23"/>
        <xdr:cNvGrpSpPr/>
      </xdr:nvGrpSpPr>
      <xdr:grpSpPr>
        <a:xfrm>
          <a:off x="0" y="0"/>
          <a:ext cx="7359650" cy="381000"/>
          <a:chOff x="0" y="0"/>
          <a:chExt cx="7559040" cy="388620"/>
        </a:xfrm>
      </xdr:grpSpPr>
      <xdr:sp macro="" textlink="">
        <xdr:nvSpPr>
          <xdr:cNvPr id="25" name="Rectangle 24"/>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6"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27" name="Picture 26"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8"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9"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30"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31"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65</xdr:row>
      <xdr:rowOff>0</xdr:rowOff>
    </xdr:from>
    <xdr:to>
      <xdr:col>3</xdr:col>
      <xdr:colOff>619125</xdr:colOff>
      <xdr:row>68</xdr:row>
      <xdr:rowOff>133350</xdr:rowOff>
    </xdr:to>
    <xdr:pic>
      <xdr:nvPicPr>
        <xdr:cNvPr id="17130"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095625" y="102774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25400</xdr:colOff>
      <xdr:row>0</xdr:row>
      <xdr:rowOff>381000</xdr:rowOff>
    </xdr:to>
    <xdr:grpSp>
      <xdr:nvGrpSpPr>
        <xdr:cNvPr id="16" name="Group 15"/>
        <xdr:cNvGrpSpPr/>
      </xdr:nvGrpSpPr>
      <xdr:grpSpPr>
        <a:xfrm>
          <a:off x="0" y="0"/>
          <a:ext cx="7359650"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70</xdr:row>
      <xdr:rowOff>0</xdr:rowOff>
    </xdr:from>
    <xdr:to>
      <xdr:col>3</xdr:col>
      <xdr:colOff>619125</xdr:colOff>
      <xdr:row>73</xdr:row>
      <xdr:rowOff>133350</xdr:rowOff>
    </xdr:to>
    <xdr:pic>
      <xdr:nvPicPr>
        <xdr:cNvPr id="2450"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095625" y="10963275"/>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8" name="Group 7"/>
        <xdr:cNvGrpSpPr/>
      </xdr:nvGrpSpPr>
      <xdr:grpSpPr>
        <a:xfrm>
          <a:off x="0" y="0"/>
          <a:ext cx="7380816" cy="381000"/>
          <a:chOff x="0" y="0"/>
          <a:chExt cx="7559040" cy="388620"/>
        </a:xfrm>
      </xdr:grpSpPr>
      <xdr:sp macro="" textlink="">
        <xdr:nvSpPr>
          <xdr:cNvPr id="9" name="Rectangle 8"/>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0"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1" name="Picture 10"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13"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14"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15"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9525</xdr:colOff>
      <xdr:row>69</xdr:row>
      <xdr:rowOff>0</xdr:rowOff>
    </xdr:from>
    <xdr:to>
      <xdr:col>3</xdr:col>
      <xdr:colOff>628650</xdr:colOff>
      <xdr:row>72</xdr:row>
      <xdr:rowOff>133350</xdr:rowOff>
    </xdr:to>
    <xdr:pic>
      <xdr:nvPicPr>
        <xdr:cNvPr id="19166" name="Picture 7" descr="TAMAgEXT.jpg"/>
        <xdr:cNvPicPr>
          <a:picLocks noChangeAspect="1"/>
        </xdr:cNvPicPr>
      </xdr:nvPicPr>
      <xdr:blipFill>
        <a:blip xmlns:r="http://schemas.openxmlformats.org/officeDocument/2006/relationships" r:embed="rId1" cstate="print"/>
        <a:srcRect/>
        <a:stretch>
          <a:fillRect/>
        </a:stretch>
      </xdr:blipFill>
      <xdr:spPr bwMode="auto">
        <a:xfrm>
          <a:off x="3105150" y="10763250"/>
          <a:ext cx="1333500" cy="619125"/>
        </a:xfrm>
        <a:prstGeom prst="rect">
          <a:avLst/>
        </a:prstGeom>
        <a:noFill/>
        <a:ln w="9525">
          <a:noFill/>
          <a:miter lim="800000"/>
          <a:headEnd/>
          <a:tailEnd/>
        </a:ln>
      </xdr:spPr>
    </xdr:pic>
    <xdr:clientData/>
  </xdr:twoCellAnchor>
  <xdr:twoCellAnchor editAs="absolute">
    <xdr:from>
      <xdr:col>0</xdr:col>
      <xdr:colOff>0</xdr:colOff>
      <xdr:row>0</xdr:row>
      <xdr:rowOff>0</xdr:rowOff>
    </xdr:from>
    <xdr:to>
      <xdr:col>8</xdr:col>
      <xdr:colOff>46566</xdr:colOff>
      <xdr:row>0</xdr:row>
      <xdr:rowOff>381000</xdr:rowOff>
    </xdr:to>
    <xdr:grpSp>
      <xdr:nvGrpSpPr>
        <xdr:cNvPr id="16" name="Group 15"/>
        <xdr:cNvGrpSpPr/>
      </xdr:nvGrpSpPr>
      <xdr:grpSpPr>
        <a:xfrm>
          <a:off x="0" y="0"/>
          <a:ext cx="7380816" cy="381000"/>
          <a:chOff x="0" y="0"/>
          <a:chExt cx="7559040" cy="388620"/>
        </a:xfrm>
      </xdr:grpSpPr>
      <xdr:sp macro="" textlink="">
        <xdr:nvSpPr>
          <xdr:cNvPr id="17" name="Rectangle 16"/>
          <xdr:cNvSpPr/>
        </xdr:nvSpPr>
        <xdr:spPr bwMode="auto">
          <a:xfrm>
            <a:off x="0" y="0"/>
            <a:ext cx="7559040" cy="350520"/>
          </a:xfrm>
          <a:prstGeom prst="rect">
            <a:avLst/>
          </a:prstGeom>
          <a:solidFill>
            <a:schemeClr val="bg2">
              <a:lumMod val="9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8" name="WordArt 1">
            <a:hlinkClick xmlns:r="http://schemas.openxmlformats.org/officeDocument/2006/relationships" r:id="rId2"/>
          </xdr:cNvPr>
          <xdr:cNvSpPr>
            <a:spLocks noChangeArrowheads="1" noChangeShapeType="1" noTextEdit="1"/>
          </xdr:cNvSpPr>
        </xdr:nvSpPr>
        <xdr:spPr bwMode="auto">
          <a:xfrm>
            <a:off x="251460" y="45720"/>
            <a:ext cx="710566"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ysClr val="windowText" lastClr="000000"/>
                </a:solidFill>
                <a:effectLst/>
                <a:latin typeface="Arial Black" panose="020B0A04020102020204" pitchFamily="34" charset="0"/>
              </a:rPr>
              <a:t>Menu</a:t>
            </a:r>
          </a:p>
        </xdr:txBody>
      </xdr:sp>
      <xdr:pic>
        <xdr:nvPicPr>
          <xdr:cNvPr id="19" name="Picture 18" descr="C:\Users\bridget.guerrero\AppData\Local\Microsoft\Windows\Temporary Internet Files\Content.IE5\0VV9XFXZ\MC900441428[1].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2321" y="45720"/>
            <a:ext cx="274319" cy="2716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WordArt 1">
            <a:hlinkClick xmlns:r="http://schemas.openxmlformats.org/officeDocument/2006/relationships" r:id="rId5"/>
          </xdr:cNvPr>
          <xdr:cNvSpPr>
            <a:spLocks noChangeArrowheads="1" noChangeShapeType="1" noTextEdit="1"/>
          </xdr:cNvSpPr>
        </xdr:nvSpPr>
        <xdr:spPr bwMode="auto">
          <a:xfrm>
            <a:off x="1126694" y="45720"/>
            <a:ext cx="784860" cy="27051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3">
                    <a:lumMod val="75000"/>
                  </a:schemeClr>
                </a:solidFill>
                <a:effectLst/>
                <a:latin typeface="Arial Black" panose="020B0A04020102020204" pitchFamily="34" charset="0"/>
              </a:rPr>
              <a:t>Prices</a:t>
            </a:r>
          </a:p>
        </xdr:txBody>
      </xdr:sp>
      <xdr:sp macro="" textlink="">
        <xdr:nvSpPr>
          <xdr:cNvPr id="21" name="WordArt 1">
            <a:hlinkClick xmlns:r="http://schemas.openxmlformats.org/officeDocument/2006/relationships" r:id="rId6"/>
          </xdr:cNvPr>
          <xdr:cNvSpPr>
            <a:spLocks noChangeArrowheads="1" noChangeShapeType="1" noTextEdit="1"/>
          </xdr:cNvSpPr>
        </xdr:nvSpPr>
        <xdr:spPr bwMode="auto">
          <a:xfrm>
            <a:off x="2076222" y="45720"/>
            <a:ext cx="1508760" cy="27432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2">
                    <a:lumMod val="75000"/>
                  </a:schemeClr>
                </a:solidFill>
                <a:effectLst/>
                <a:latin typeface="Arial Black" panose="020B0A04020102020204" pitchFamily="34" charset="0"/>
              </a:rPr>
              <a:t>Break-Even</a:t>
            </a:r>
          </a:p>
        </xdr:txBody>
      </xdr:sp>
      <xdr:sp macro="" textlink="">
        <xdr:nvSpPr>
          <xdr:cNvPr id="22" name="WordArt 1">
            <a:hlinkClick xmlns:r="http://schemas.openxmlformats.org/officeDocument/2006/relationships" r:id="rId7"/>
          </xdr:cNvPr>
          <xdr:cNvSpPr>
            <a:spLocks noChangeArrowheads="1" noChangeShapeType="1" noTextEdit="1"/>
          </xdr:cNvSpPr>
        </xdr:nvSpPr>
        <xdr:spPr bwMode="auto">
          <a:xfrm>
            <a:off x="3749650" y="45720"/>
            <a:ext cx="1742693" cy="32766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chemeClr val="accent6">
                    <a:lumMod val="75000"/>
                  </a:schemeClr>
                </a:solidFill>
                <a:effectLst/>
                <a:latin typeface="Arial Black" panose="020B0A04020102020204" pitchFamily="34" charset="0"/>
              </a:rPr>
              <a:t>Comparative</a:t>
            </a:r>
          </a:p>
        </xdr:txBody>
      </xdr:sp>
      <xdr:sp macro="" textlink="">
        <xdr:nvSpPr>
          <xdr:cNvPr id="23" name="WordArt 1">
            <a:hlinkClick xmlns:r="http://schemas.openxmlformats.org/officeDocument/2006/relationships" r:id="rId8"/>
          </xdr:cNvPr>
          <xdr:cNvSpPr>
            <a:spLocks noChangeArrowheads="1" noChangeShapeType="1" noTextEdit="1"/>
          </xdr:cNvSpPr>
        </xdr:nvSpPr>
        <xdr:spPr bwMode="auto">
          <a:xfrm>
            <a:off x="5657010" y="45720"/>
            <a:ext cx="1330529" cy="342900"/>
          </a:xfrm>
          <a:prstGeom prst="rect">
            <a:avLst/>
          </a:prstGeom>
        </xdr:spPr>
        <xdr:txBody>
          <a:bodyPr wrap="none" fromWordArt="1">
            <a:prstTxWarp prst="textPlain">
              <a:avLst>
                <a:gd name="adj" fmla="val 50000"/>
              </a:avLst>
            </a:prstTxWarp>
            <a:scene3d>
              <a:camera prst="orthographicFront"/>
              <a:lightRig rig="threePt" dir="t"/>
            </a:scene3d>
            <a:sp3d extrusionH="57150">
              <a:bevelT w="38100" h="38100"/>
            </a:sp3d>
          </a:bodyPr>
          <a:lstStyle/>
          <a:p>
            <a:pPr algn="ctr" rtl="0"/>
            <a:r>
              <a:rPr lang="en-US" sz="3600" kern="10" spc="0" baseline="0">
                <a:ln w="9525">
                  <a:solidFill>
                    <a:srgbClr val="000000"/>
                  </a:solidFill>
                  <a:round/>
                  <a:headEnd/>
                  <a:tailEnd/>
                </a:ln>
                <a:solidFill>
                  <a:srgbClr val="0070C0"/>
                </a:solidFill>
                <a:effectLst/>
                <a:latin typeface="Arial Black" panose="020B0A04020102020204" pitchFamily="34" charset="0"/>
              </a:rPr>
              <a:t>Irrigation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astermarketer.tamu.edu/" TargetMode="External"/><Relationship Id="rId7" Type="http://schemas.openxmlformats.org/officeDocument/2006/relationships/hyperlink" Target="http://farmassistance.tamu.edu/" TargetMode="External"/><Relationship Id="rId2" Type="http://schemas.openxmlformats.org/officeDocument/2006/relationships/hyperlink" Target="http://agecoext.tamu.edu/" TargetMode="External"/><Relationship Id="rId1" Type="http://schemas.openxmlformats.org/officeDocument/2006/relationships/hyperlink" Target="mailto:samosson@ag.tamu.edu" TargetMode="External"/><Relationship Id="rId6" Type="http://schemas.openxmlformats.org/officeDocument/2006/relationships/hyperlink" Target="http://www.texascorn.org/" TargetMode="External"/><Relationship Id="rId5" Type="http://schemas.openxmlformats.org/officeDocument/2006/relationships/hyperlink" Target="http://www.futures.tradingcharts.com/menu.html" TargetMode="External"/><Relationship Id="rId4" Type="http://schemas.openxmlformats.org/officeDocument/2006/relationships/hyperlink" Target="http://agecoext.tamu.edu/resources/market-outloo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3" Type="http://schemas.openxmlformats.org/officeDocument/2006/relationships/image" Target="../media/image8.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21.emf"/><Relationship Id="rId21" Type="http://schemas.openxmlformats.org/officeDocument/2006/relationships/image" Target="../media/image12.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5.emf"/><Relationship Id="rId50" Type="http://schemas.openxmlformats.org/officeDocument/2006/relationships/control" Target="../activeX/activeX24.xml"/><Relationship Id="rId55" Type="http://schemas.openxmlformats.org/officeDocument/2006/relationships/image" Target="../media/image29.emf"/><Relationship Id="rId7" Type="http://schemas.openxmlformats.org/officeDocument/2006/relationships/image" Target="../media/image5.emf"/><Relationship Id="rId12" Type="http://schemas.openxmlformats.org/officeDocument/2006/relationships/control" Target="../activeX/activeX5.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1.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6.emf"/><Relationship Id="rId41" Type="http://schemas.openxmlformats.org/officeDocument/2006/relationships/image" Target="../media/image22.emf"/><Relationship Id="rId54" Type="http://schemas.openxmlformats.org/officeDocument/2006/relationships/control" Target="../activeX/activeX26.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7.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20.emf"/><Relationship Id="rId40" Type="http://schemas.openxmlformats.org/officeDocument/2006/relationships/control" Target="../activeX/activeX19.xml"/><Relationship Id="rId45" Type="http://schemas.openxmlformats.org/officeDocument/2006/relationships/image" Target="../media/image24.emf"/><Relationship Id="rId53" Type="http://schemas.openxmlformats.org/officeDocument/2006/relationships/image" Target="../media/image28.emf"/><Relationship Id="rId58" Type="http://schemas.openxmlformats.org/officeDocument/2006/relationships/control" Target="../activeX/activeX28.xml"/><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6.emf"/><Relationship Id="rId57" Type="http://schemas.openxmlformats.org/officeDocument/2006/relationships/image" Target="../media/image30.emf"/><Relationship Id="rId10" Type="http://schemas.openxmlformats.org/officeDocument/2006/relationships/control" Target="../activeX/activeX4.xml"/><Relationship Id="rId19" Type="http://schemas.openxmlformats.org/officeDocument/2006/relationships/image" Target="../media/image11.emf"/><Relationship Id="rId31" Type="http://schemas.openxmlformats.org/officeDocument/2006/relationships/image" Target="../media/image17.emf"/><Relationship Id="rId44" Type="http://schemas.openxmlformats.org/officeDocument/2006/relationships/control" Target="../activeX/activeX21.xml"/><Relationship Id="rId52" Type="http://schemas.openxmlformats.org/officeDocument/2006/relationships/control" Target="../activeX/activeX25.xml"/><Relationship Id="rId4" Type="http://schemas.openxmlformats.org/officeDocument/2006/relationships/control" Target="../activeX/activeX1.xml"/><Relationship Id="rId9" Type="http://schemas.openxmlformats.org/officeDocument/2006/relationships/image" Target="../media/image6.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5.emf"/><Relationship Id="rId30" Type="http://schemas.openxmlformats.org/officeDocument/2006/relationships/control" Target="../activeX/activeX14.xml"/><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7.emf"/><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61"/>
  <sheetViews>
    <sheetView showGridLines="0" showRowColHeaders="0" tabSelected="1" zoomScale="90" zoomScaleNormal="90" workbookViewId="0">
      <pane ySplit="1" topLeftCell="A23" activePane="bottomLeft" state="frozen"/>
      <selection pane="bottomLeft" activeCell="B3" sqref="B3"/>
    </sheetView>
  </sheetViews>
  <sheetFormatPr defaultRowHeight="13.2" x14ac:dyDescent="0.25"/>
  <cols>
    <col min="1" max="1" width="7.44140625" customWidth="1"/>
    <col min="2" max="2" width="31" customWidth="1"/>
  </cols>
  <sheetData>
    <row r="1" spans="1:18" ht="32.25" customHeight="1" x14ac:dyDescent="0.25">
      <c r="A1" s="77"/>
      <c r="B1" s="77"/>
      <c r="C1" s="77"/>
      <c r="D1" s="77"/>
      <c r="E1" s="77"/>
      <c r="F1" s="77"/>
      <c r="G1" s="77"/>
      <c r="K1" s="77"/>
      <c r="L1" s="77"/>
      <c r="M1" s="77"/>
      <c r="N1" s="77"/>
      <c r="O1" s="77"/>
      <c r="P1" s="77"/>
      <c r="Q1" s="77"/>
      <c r="R1" s="77"/>
    </row>
    <row r="2" spans="1:18" x14ac:dyDescent="0.25">
      <c r="A2" s="252" t="s">
        <v>271</v>
      </c>
    </row>
    <row r="3" spans="1:18" ht="32.4" x14ac:dyDescent="0.6">
      <c r="G3" s="282"/>
    </row>
    <row r="6" spans="1:18" x14ac:dyDescent="0.25">
      <c r="J6" s="313"/>
      <c r="K6" s="313"/>
      <c r="L6" s="313"/>
      <c r="M6" s="313"/>
      <c r="N6" s="313"/>
      <c r="O6" s="313"/>
    </row>
    <row r="8" spans="1:18" ht="15.6" x14ac:dyDescent="0.3">
      <c r="B8" s="254" t="s">
        <v>94</v>
      </c>
      <c r="C8" s="49" t="s">
        <v>226</v>
      </c>
    </row>
    <row r="9" spans="1:18" ht="12.75" customHeight="1" x14ac:dyDescent="0.25">
      <c r="B9" s="254" t="s">
        <v>224</v>
      </c>
      <c r="C9" s="315" t="s">
        <v>225</v>
      </c>
      <c r="D9" s="315"/>
      <c r="E9" s="315"/>
      <c r="F9" s="315"/>
      <c r="G9" s="315"/>
      <c r="H9" s="315"/>
      <c r="I9" s="315"/>
    </row>
    <row r="10" spans="1:18" x14ac:dyDescent="0.25">
      <c r="B10" s="155" t="s">
        <v>95</v>
      </c>
      <c r="C10" s="315"/>
      <c r="D10" s="315"/>
      <c r="E10" s="315"/>
      <c r="F10" s="315"/>
      <c r="G10" s="315"/>
      <c r="H10" s="315"/>
      <c r="I10" s="315"/>
    </row>
    <row r="11" spans="1:18" x14ac:dyDescent="0.25">
      <c r="B11" s="155" t="s">
        <v>96</v>
      </c>
      <c r="C11" s="315"/>
      <c r="D11" s="315"/>
      <c r="E11" s="315"/>
      <c r="F11" s="315"/>
      <c r="G11" s="315"/>
      <c r="H11" s="315"/>
      <c r="I11" s="315"/>
    </row>
    <row r="12" spans="1:18" x14ac:dyDescent="0.25">
      <c r="B12" s="254" t="s">
        <v>223</v>
      </c>
      <c r="C12" s="315"/>
      <c r="D12" s="315"/>
      <c r="E12" s="315"/>
      <c r="F12" s="315"/>
      <c r="G12" s="315"/>
      <c r="H12" s="315"/>
      <c r="I12" s="315"/>
    </row>
    <row r="13" spans="1:18" x14ac:dyDescent="0.25">
      <c r="B13" s="155" t="s">
        <v>97</v>
      </c>
      <c r="C13" s="315"/>
      <c r="D13" s="315"/>
      <c r="E13" s="315"/>
      <c r="F13" s="315"/>
      <c r="G13" s="315"/>
      <c r="H13" s="315"/>
      <c r="I13" s="315"/>
    </row>
    <row r="14" spans="1:18" x14ac:dyDescent="0.25">
      <c r="B14" s="155" t="s">
        <v>98</v>
      </c>
      <c r="C14" s="253"/>
      <c r="D14" s="253"/>
      <c r="E14" s="253"/>
      <c r="F14" s="253"/>
      <c r="G14" s="253"/>
      <c r="H14" s="253"/>
      <c r="I14" s="253"/>
    </row>
    <row r="15" spans="1:18" x14ac:dyDescent="0.25">
      <c r="B15" s="313" t="s">
        <v>99</v>
      </c>
      <c r="C15" s="313"/>
      <c r="D15" s="313"/>
      <c r="E15" s="313"/>
      <c r="F15" s="313"/>
      <c r="G15" s="313"/>
      <c r="H15" s="313"/>
      <c r="I15" s="313"/>
    </row>
    <row r="16" spans="1:18" ht="12.75" customHeight="1" x14ac:dyDescent="0.25">
      <c r="A16" s="314" t="s">
        <v>227</v>
      </c>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ht="12.75" customHeight="1" x14ac:dyDescent="0.25">
      <c r="A20" s="314"/>
      <c r="B20" s="314"/>
      <c r="C20" s="314"/>
      <c r="D20" s="314"/>
      <c r="E20" s="314"/>
      <c r="F20" s="314"/>
      <c r="G20" s="314"/>
      <c r="H20" s="314"/>
      <c r="I20" s="314"/>
    </row>
    <row r="21" spans="1:9" ht="12.75" customHeight="1" x14ac:dyDescent="0.25">
      <c r="B21" s="253"/>
      <c r="C21" s="253"/>
      <c r="D21" s="253"/>
      <c r="E21" s="253"/>
      <c r="F21" s="253"/>
      <c r="G21" s="253"/>
      <c r="H21" s="253"/>
      <c r="I21" s="253"/>
    </row>
    <row r="22" spans="1:9" ht="12.75" customHeight="1" x14ac:dyDescent="0.25">
      <c r="A22" s="314" t="s">
        <v>265</v>
      </c>
      <c r="B22" s="314"/>
      <c r="C22" s="314"/>
      <c r="D22" s="314"/>
      <c r="E22" s="314"/>
      <c r="F22" s="314"/>
      <c r="G22" s="253"/>
      <c r="H22" s="253"/>
      <c r="I22" s="253"/>
    </row>
    <row r="23" spans="1:9" x14ac:dyDescent="0.25">
      <c r="A23" s="314"/>
      <c r="B23" s="314"/>
      <c r="C23" s="314"/>
      <c r="D23" s="314"/>
      <c r="E23" s="314"/>
      <c r="F23" s="314"/>
      <c r="G23" s="253"/>
      <c r="H23" s="253"/>
      <c r="I23" s="253"/>
    </row>
    <row r="24" spans="1:9" x14ac:dyDescent="0.25">
      <c r="A24" s="314"/>
      <c r="B24" s="314"/>
      <c r="C24" s="314"/>
      <c r="D24" s="314"/>
      <c r="E24" s="314"/>
      <c r="F24" s="314"/>
      <c r="G24" s="253"/>
      <c r="H24" s="253"/>
      <c r="I24" s="253"/>
    </row>
    <row r="25" spans="1:9" x14ac:dyDescent="0.25">
      <c r="A25" s="314"/>
      <c r="B25" s="314"/>
      <c r="C25" s="314"/>
      <c r="D25" s="314"/>
      <c r="E25" s="314"/>
      <c r="F25" s="314"/>
      <c r="G25" s="253"/>
      <c r="H25" s="253"/>
      <c r="I25" s="253"/>
    </row>
    <row r="26" spans="1:9" x14ac:dyDescent="0.25">
      <c r="A26" s="289"/>
      <c r="B26" s="289"/>
      <c r="C26" s="289"/>
      <c r="D26" s="289"/>
      <c r="E26" s="289"/>
      <c r="F26" s="289"/>
      <c r="G26" s="253"/>
      <c r="H26" s="253"/>
      <c r="I26" s="253"/>
    </row>
    <row r="27" spans="1:9" x14ac:dyDescent="0.25">
      <c r="B27" s="313" t="s">
        <v>100</v>
      </c>
      <c r="C27" s="313"/>
      <c r="D27" s="313"/>
      <c r="E27" s="313"/>
      <c r="F27" s="313"/>
      <c r="G27" s="313"/>
      <c r="H27" s="313"/>
      <c r="I27" s="313"/>
    </row>
    <row r="28" spans="1:9" ht="12.75" customHeight="1" x14ac:dyDescent="0.25">
      <c r="A28" s="314" t="s">
        <v>219</v>
      </c>
      <c r="B28" s="316"/>
      <c r="C28" s="316"/>
      <c r="D28" s="316"/>
      <c r="E28" s="316"/>
      <c r="F28" s="316"/>
      <c r="G28" s="316"/>
      <c r="H28" s="316"/>
      <c r="I28" s="316"/>
    </row>
    <row r="29" spans="1:9" ht="12.75" customHeight="1" x14ac:dyDescent="0.25">
      <c r="A29" s="316"/>
      <c r="B29" s="316"/>
      <c r="C29" s="316"/>
      <c r="D29" s="316"/>
      <c r="E29" s="316"/>
      <c r="F29" s="316"/>
      <c r="G29" s="316"/>
      <c r="H29" s="316"/>
      <c r="I29" s="316"/>
    </row>
    <row r="30" spans="1:9" ht="12.75" customHeight="1" x14ac:dyDescent="0.25">
      <c r="A30" s="316"/>
      <c r="B30" s="316"/>
      <c r="C30" s="316"/>
      <c r="D30" s="316"/>
      <c r="E30" s="316"/>
      <c r="F30" s="316"/>
      <c r="G30" s="316"/>
      <c r="H30" s="316"/>
      <c r="I30" s="316"/>
    </row>
    <row r="31" spans="1:9" ht="12.75" customHeight="1" x14ac:dyDescent="0.25">
      <c r="A31" s="263"/>
      <c r="B31" s="263"/>
      <c r="C31" s="263"/>
      <c r="D31" s="263"/>
      <c r="E31" s="263"/>
      <c r="F31" s="263"/>
      <c r="G31" s="263"/>
      <c r="H31" s="263"/>
      <c r="I31" s="263"/>
    </row>
    <row r="32" spans="1:9" ht="12.75" customHeight="1" x14ac:dyDescent="0.25">
      <c r="A32" s="314" t="s">
        <v>231</v>
      </c>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263"/>
      <c r="B35" s="263"/>
      <c r="C35" s="263"/>
      <c r="D35" s="263"/>
      <c r="E35" s="263"/>
      <c r="F35" s="263"/>
      <c r="G35" s="263"/>
      <c r="H35" s="263"/>
      <c r="I35" s="263"/>
    </row>
    <row r="36" spans="1:9" x14ac:dyDescent="0.25">
      <c r="A36" s="314" t="s">
        <v>232</v>
      </c>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12.75" customHeight="1" x14ac:dyDescent="0.25"/>
    <row r="41" spans="1:9" x14ac:dyDescent="0.25">
      <c r="B41" s="313" t="s">
        <v>229</v>
      </c>
      <c r="C41" s="313"/>
      <c r="D41" s="313"/>
      <c r="E41" s="313"/>
      <c r="F41" s="313"/>
      <c r="G41" s="313"/>
      <c r="H41" s="313"/>
      <c r="I41" s="313"/>
    </row>
    <row r="42" spans="1:9" x14ac:dyDescent="0.25">
      <c r="A42" s="314" t="s">
        <v>218</v>
      </c>
      <c r="B42" s="316"/>
      <c r="C42" s="316"/>
      <c r="D42" s="316"/>
      <c r="E42" s="316"/>
      <c r="F42" s="316"/>
      <c r="G42" s="316"/>
      <c r="H42" s="316"/>
      <c r="I42" s="316"/>
    </row>
    <row r="43" spans="1:9" x14ac:dyDescent="0.25">
      <c r="A43" s="316"/>
      <c r="B43" s="316"/>
      <c r="C43" s="316"/>
      <c r="D43" s="316"/>
      <c r="E43" s="316"/>
      <c r="F43" s="316"/>
      <c r="G43" s="316"/>
      <c r="H43" s="316"/>
      <c r="I43" s="316"/>
    </row>
    <row r="44" spans="1:9" x14ac:dyDescent="0.25">
      <c r="A44" s="316"/>
      <c r="B44" s="316"/>
      <c r="C44" s="316"/>
      <c r="D44" s="316"/>
      <c r="E44" s="316"/>
      <c r="F44" s="316"/>
      <c r="G44" s="316"/>
      <c r="H44" s="316"/>
      <c r="I44" s="316"/>
    </row>
    <row r="45" spans="1:9" x14ac:dyDescent="0.25">
      <c r="A45" s="316"/>
      <c r="B45" s="316"/>
      <c r="C45" s="316"/>
      <c r="D45" s="316"/>
      <c r="E45" s="316"/>
      <c r="F45" s="316"/>
      <c r="G45" s="316"/>
      <c r="H45" s="316"/>
      <c r="I45" s="316"/>
    </row>
    <row r="46" spans="1:9" ht="12.75" customHeight="1" x14ac:dyDescent="0.25">
      <c r="A46" s="253"/>
      <c r="B46" s="253"/>
      <c r="C46" s="253"/>
      <c r="D46" s="253"/>
      <c r="E46" s="253"/>
      <c r="F46" s="253"/>
      <c r="G46" s="253"/>
      <c r="H46" s="253"/>
      <c r="I46" s="253"/>
    </row>
    <row r="47" spans="1:9" x14ac:dyDescent="0.25">
      <c r="B47" s="313" t="s">
        <v>230</v>
      </c>
      <c r="C47" s="313"/>
      <c r="D47" s="313"/>
      <c r="E47" s="313"/>
      <c r="F47" s="313"/>
      <c r="G47" s="313"/>
      <c r="H47" s="313"/>
      <c r="I47" s="313"/>
    </row>
    <row r="48" spans="1:9" x14ac:dyDescent="0.25">
      <c r="A48" s="314" t="s">
        <v>234</v>
      </c>
      <c r="B48" s="314"/>
      <c r="C48" s="314"/>
      <c r="D48" s="314"/>
      <c r="E48" s="314"/>
      <c r="F48" s="314"/>
      <c r="G48" s="314"/>
      <c r="H48" s="314"/>
      <c r="I48" s="314"/>
    </row>
    <row r="49" spans="1:9" x14ac:dyDescent="0.25">
      <c r="A49" s="314"/>
      <c r="B49" s="314"/>
      <c r="C49" s="314"/>
      <c r="D49" s="314"/>
      <c r="E49" s="314"/>
      <c r="F49" s="314"/>
      <c r="G49" s="314"/>
      <c r="H49" s="314"/>
      <c r="I49" s="314"/>
    </row>
    <row r="50" spans="1:9" x14ac:dyDescent="0.25">
      <c r="A50" s="314"/>
      <c r="B50" s="314"/>
      <c r="C50" s="314"/>
      <c r="D50" s="314"/>
      <c r="E50" s="314"/>
      <c r="F50" s="314"/>
      <c r="G50" s="314"/>
      <c r="H50" s="314"/>
      <c r="I50" s="314"/>
    </row>
    <row r="51" spans="1:9" x14ac:dyDescent="0.25">
      <c r="A51" s="314"/>
      <c r="B51" s="314"/>
      <c r="C51" s="314"/>
      <c r="D51" s="314"/>
      <c r="E51" s="314"/>
      <c r="F51" s="314"/>
      <c r="G51" s="314"/>
      <c r="H51" s="314"/>
      <c r="I51" s="314"/>
    </row>
    <row r="53" spans="1:9" x14ac:dyDescent="0.25">
      <c r="B53" s="313" t="s">
        <v>101</v>
      </c>
      <c r="C53" s="313"/>
      <c r="D53" s="313"/>
      <c r="E53" s="313"/>
      <c r="F53" s="313"/>
      <c r="G53" s="313"/>
      <c r="H53" s="313"/>
      <c r="I53" s="313"/>
    </row>
    <row r="54" spans="1:9" x14ac:dyDescent="0.25">
      <c r="A54" s="314" t="s">
        <v>233</v>
      </c>
      <c r="B54" s="314"/>
      <c r="C54" s="314"/>
      <c r="D54" s="314"/>
      <c r="E54" s="314"/>
      <c r="F54" s="314"/>
      <c r="G54" s="314"/>
      <c r="H54" s="314"/>
      <c r="I54" s="314"/>
    </row>
    <row r="55" spans="1:9" x14ac:dyDescent="0.25">
      <c r="A55" s="314"/>
      <c r="B55" s="314"/>
      <c r="C55" s="314"/>
      <c r="D55" s="314"/>
      <c r="E55" s="314"/>
      <c r="F55" s="314"/>
      <c r="G55" s="314"/>
      <c r="H55" s="314"/>
      <c r="I55" s="314"/>
    </row>
    <row r="56" spans="1:9" x14ac:dyDescent="0.25">
      <c r="A56" s="314"/>
      <c r="B56" s="314"/>
      <c r="C56" s="314"/>
      <c r="D56" s="314"/>
      <c r="E56" s="314"/>
      <c r="F56" s="314"/>
      <c r="G56" s="314"/>
      <c r="H56" s="314"/>
      <c r="I56" s="314"/>
    </row>
    <row r="57" spans="1:9" ht="12.75" customHeight="1" x14ac:dyDescent="0.25">
      <c r="A57" s="253"/>
      <c r="B57" s="253"/>
      <c r="C57" s="253"/>
      <c r="D57" s="253"/>
      <c r="E57" s="253"/>
      <c r="F57" s="253"/>
      <c r="G57" s="253"/>
      <c r="H57" s="253"/>
      <c r="I57" s="253"/>
    </row>
    <row r="58" spans="1:9" x14ac:dyDescent="0.25">
      <c r="B58" s="313" t="s">
        <v>228</v>
      </c>
      <c r="C58" s="313"/>
      <c r="D58" s="313"/>
      <c r="E58" s="313"/>
      <c r="F58" s="313"/>
      <c r="G58" s="313"/>
      <c r="H58" s="313"/>
      <c r="I58" s="313"/>
    </row>
    <row r="59" spans="1:9" ht="12.75" customHeight="1" x14ac:dyDescent="0.25">
      <c r="A59" s="314" t="s">
        <v>235</v>
      </c>
      <c r="B59" s="314"/>
      <c r="C59" s="314"/>
      <c r="D59" s="314"/>
      <c r="E59" s="314"/>
      <c r="F59" s="314"/>
      <c r="G59" s="314"/>
      <c r="H59" s="314"/>
      <c r="I59" s="314"/>
    </row>
    <row r="60" spans="1:9" x14ac:dyDescent="0.25">
      <c r="A60" s="314"/>
      <c r="B60" s="314"/>
      <c r="C60" s="314"/>
      <c r="D60" s="314"/>
      <c r="E60" s="314"/>
      <c r="F60" s="314"/>
      <c r="G60" s="314"/>
      <c r="H60" s="314"/>
      <c r="I60" s="314"/>
    </row>
    <row r="61" spans="1:9" x14ac:dyDescent="0.25">
      <c r="A61" s="253"/>
      <c r="B61" s="253"/>
      <c r="C61" s="253"/>
      <c r="D61" s="253"/>
      <c r="E61" s="253"/>
      <c r="F61" s="253"/>
      <c r="G61" s="253"/>
      <c r="H61" s="253"/>
      <c r="I61" s="253"/>
    </row>
  </sheetData>
  <sheetProtection sheet="1" objects="1" scenarios="1"/>
  <mergeCells count="17">
    <mergeCell ref="A54:I56"/>
    <mergeCell ref="A59:I60"/>
    <mergeCell ref="A22:F25"/>
    <mergeCell ref="A36:I39"/>
    <mergeCell ref="A42:I45"/>
    <mergeCell ref="B58:I58"/>
    <mergeCell ref="B47:I47"/>
    <mergeCell ref="A48:I51"/>
    <mergeCell ref="B53:I53"/>
    <mergeCell ref="J6:O6"/>
    <mergeCell ref="B41:I41"/>
    <mergeCell ref="B27:I27"/>
    <mergeCell ref="A16:I20"/>
    <mergeCell ref="B15:I15"/>
    <mergeCell ref="C9:I13"/>
    <mergeCell ref="A32:I34"/>
    <mergeCell ref="A28:I30"/>
  </mergeCells>
  <phoneticPr fontId="0" type="noConversion"/>
  <hyperlinks>
    <hyperlink ref="B8" r:id="rId1"/>
    <hyperlink ref="B10" r:id="rId2"/>
    <hyperlink ref="B11" r:id="rId3"/>
    <hyperlink ref="B13" r:id="rId4"/>
    <hyperlink ref="B14" r:id="rId5"/>
    <hyperlink ref="B9" r:id="rId6"/>
    <hyperlink ref="B12" r:id="rId7"/>
  </hyperlinks>
  <printOptions horizontalCentered="1"/>
  <pageMargins left="0.25" right="0.25" top="0.75" bottom="0.75" header="0.3" footer="0.3"/>
  <pageSetup scale="92" orientation="portrait" r:id="rId8"/>
  <headerFooter alignWithMargins="0">
    <oddFooter>&amp;C&amp;8Texas AgriLife Extension Service provides this software for educational use, solely on an “AS IS” basis and  assumes no liability for its use.</oddFooter>
  </headerFooter>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T70"/>
  <sheetViews>
    <sheetView showGridLines="0" zoomScale="90" zoomScaleNormal="90" workbookViewId="0">
      <pane ySplit="7" topLeftCell="A39" activePane="bottomLeft" state="frozen"/>
      <selection activeCell="B9" sqref="B9"/>
      <selection pane="bottomLeft" activeCell="E28" sqref="E28"/>
    </sheetView>
  </sheetViews>
  <sheetFormatPr defaultRowHeight="13.2" x14ac:dyDescent="0.25"/>
  <cols>
    <col min="1" max="1" width="35.5546875" customWidth="1"/>
    <col min="2" max="8" width="10.5546875" customWidth="1"/>
    <col min="9" max="9" width="9.55468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115</v>
      </c>
      <c r="B3" s="319"/>
      <c r="C3" s="319"/>
      <c r="D3" s="319"/>
      <c r="E3" s="319"/>
      <c r="F3" s="319"/>
      <c r="G3" s="319"/>
      <c r="H3" s="319"/>
      <c r="I3" s="4"/>
      <c r="J3" s="4"/>
      <c r="K3" s="4"/>
      <c r="L3" s="4"/>
      <c r="M3" s="4"/>
    </row>
    <row r="4" spans="1:20" ht="15" x14ac:dyDescent="0.25">
      <c r="A4" s="319" t="s">
        <v>269</v>
      </c>
      <c r="B4" s="319"/>
      <c r="C4" s="319"/>
      <c r="D4" s="319"/>
      <c r="E4" s="319"/>
      <c r="F4" s="319"/>
      <c r="G4" s="319"/>
      <c r="H4" s="319"/>
      <c r="I4" s="4"/>
      <c r="J4" s="4"/>
      <c r="K4" s="4"/>
      <c r="L4" s="4"/>
      <c r="M4" s="4"/>
    </row>
    <row r="5" spans="1:20" ht="13.8" x14ac:dyDescent="0.25">
      <c r="A5" s="4"/>
      <c r="B5" s="40"/>
      <c r="C5" s="40"/>
      <c r="D5" s="40"/>
      <c r="E5" s="40"/>
      <c r="G5" s="245"/>
      <c r="H5" s="242" t="s">
        <v>102</v>
      </c>
      <c r="I5" s="69" t="s">
        <v>55</v>
      </c>
      <c r="J5" s="40"/>
      <c r="K5" s="4"/>
      <c r="L5" s="4"/>
      <c r="M5" s="4"/>
      <c r="S5" s="1"/>
      <c r="T5" s="1"/>
    </row>
    <row r="6" spans="1:20" ht="13.8" x14ac:dyDescent="0.25">
      <c r="A6" s="4" t="s">
        <v>3</v>
      </c>
      <c r="B6" s="53" t="s">
        <v>4</v>
      </c>
      <c r="C6" s="53" t="s">
        <v>5</v>
      </c>
      <c r="D6" s="53" t="s">
        <v>6</v>
      </c>
      <c r="E6" s="53" t="s">
        <v>53</v>
      </c>
      <c r="F6" s="244" t="s">
        <v>151</v>
      </c>
      <c r="G6" s="244"/>
      <c r="H6" s="112" t="s">
        <v>55</v>
      </c>
      <c r="I6" s="70" t="s">
        <v>103</v>
      </c>
      <c r="J6" s="5"/>
      <c r="K6" s="41"/>
      <c r="L6" s="4"/>
      <c r="M6" s="4"/>
    </row>
    <row r="7" spans="1:20" x14ac:dyDescent="0.25">
      <c r="A7" s="4"/>
      <c r="B7" s="5"/>
      <c r="C7" s="5"/>
      <c r="D7" s="5"/>
      <c r="E7" s="53" t="s">
        <v>55</v>
      </c>
      <c r="F7" s="53" t="s">
        <v>56</v>
      </c>
      <c r="G7" s="53" t="s">
        <v>52</v>
      </c>
      <c r="H7" s="53" t="s">
        <v>53</v>
      </c>
      <c r="J7" s="6"/>
      <c r="K7" s="4"/>
      <c r="L7" s="4"/>
      <c r="M7" s="4"/>
    </row>
    <row r="8" spans="1:20" x14ac:dyDescent="0.25">
      <c r="A8" s="4" t="s">
        <v>7</v>
      </c>
      <c r="B8" s="5"/>
      <c r="C8" s="5"/>
      <c r="D8" s="5"/>
      <c r="E8" s="5"/>
      <c r="F8" s="5"/>
      <c r="G8" s="5"/>
      <c r="H8" s="5"/>
      <c r="J8" s="6"/>
      <c r="K8" s="4"/>
      <c r="L8" s="4"/>
      <c r="M8" s="4"/>
    </row>
    <row r="9" spans="1:20" x14ac:dyDescent="0.25">
      <c r="A9" s="7" t="s">
        <v>90</v>
      </c>
      <c r="B9" s="47">
        <v>60</v>
      </c>
      <c r="C9" s="119" t="s">
        <v>54</v>
      </c>
      <c r="D9" s="55">
        <f>'Universal Input Prices'!$B$11</f>
        <v>5.75</v>
      </c>
      <c r="E9" s="34">
        <v>0.33</v>
      </c>
      <c r="F9" s="39">
        <f>D9*B9</f>
        <v>345</v>
      </c>
      <c r="G9" s="39">
        <f>F9*(1-E9)</f>
        <v>231.14999999999998</v>
      </c>
      <c r="H9" s="39">
        <f>IF(H6="Cash", D57,F9*E9)</f>
        <v>113.85000000000001</v>
      </c>
      <c r="J9" s="8"/>
      <c r="K9" s="64"/>
      <c r="L9" s="4"/>
      <c r="M9" s="4"/>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264"/>
      <c r="D11" s="8"/>
      <c r="E11" s="35"/>
      <c r="F11" s="39"/>
      <c r="G11" s="39"/>
      <c r="H11" s="39"/>
      <c r="I11" s="20"/>
      <c r="J11" s="6"/>
      <c r="K11" s="4"/>
      <c r="L11" s="4"/>
      <c r="M11" s="4"/>
    </row>
    <row r="12" spans="1:20" x14ac:dyDescent="0.25">
      <c r="A12" s="4" t="s">
        <v>12</v>
      </c>
      <c r="B12" s="5"/>
      <c r="C12" s="119"/>
      <c r="D12" s="8"/>
      <c r="E12" s="35"/>
      <c r="F12" s="39">
        <f>SUM(F8:F11)</f>
        <v>345</v>
      </c>
      <c r="G12" s="39">
        <f>SUM(G8:G11)</f>
        <v>231.14999999999998</v>
      </c>
      <c r="H12" s="39">
        <f>SUM(H8:H11)</f>
        <v>113.85000000000001</v>
      </c>
      <c r="I12" s="20"/>
      <c r="J12" s="8"/>
      <c r="K12" s="4"/>
      <c r="L12" s="4"/>
      <c r="M12" s="4"/>
    </row>
    <row r="13" spans="1:20" x14ac:dyDescent="0.25">
      <c r="A13" s="4"/>
      <c r="B13" s="5"/>
      <c r="C13" s="119"/>
      <c r="D13" s="8"/>
      <c r="E13" s="35"/>
      <c r="F13" s="39"/>
      <c r="G13" s="39"/>
      <c r="H13" s="39"/>
      <c r="I13" s="6"/>
      <c r="J13" s="6"/>
      <c r="K13" s="4"/>
      <c r="L13" s="4"/>
      <c r="M13" s="4"/>
    </row>
    <row r="14" spans="1:20" x14ac:dyDescent="0.25">
      <c r="A14" s="4" t="s">
        <v>207</v>
      </c>
      <c r="B14" s="5"/>
      <c r="C14" s="119"/>
      <c r="D14" s="8"/>
      <c r="E14" s="35"/>
      <c r="F14" s="39"/>
      <c r="G14" s="39"/>
      <c r="H14" s="39"/>
      <c r="I14" s="6"/>
      <c r="J14" s="6"/>
      <c r="K14" s="4"/>
      <c r="L14" s="4"/>
      <c r="M14" s="4"/>
    </row>
    <row r="15" spans="1:20" x14ac:dyDescent="0.25">
      <c r="A15" s="4" t="s">
        <v>1</v>
      </c>
      <c r="B15" s="24">
        <v>4</v>
      </c>
      <c r="C15" s="119" t="s">
        <v>79</v>
      </c>
      <c r="D15" s="13">
        <v>1.85</v>
      </c>
      <c r="E15" s="34">
        <v>0</v>
      </c>
      <c r="F15" s="39">
        <f>D15*B15</f>
        <v>7.4</v>
      </c>
      <c r="G15" s="39">
        <f>F15*(1-E15)</f>
        <v>7.4</v>
      </c>
      <c r="H15" s="39">
        <f>F15*E15</f>
        <v>0</v>
      </c>
      <c r="I15" s="21"/>
      <c r="J15" s="8"/>
      <c r="K15" s="4"/>
      <c r="L15" s="4"/>
      <c r="M15" s="4"/>
    </row>
    <row r="16" spans="1:20" x14ac:dyDescent="0.25">
      <c r="A16" s="4" t="s">
        <v>0</v>
      </c>
      <c r="B16" s="26"/>
      <c r="C16" s="119"/>
      <c r="D16" s="15"/>
      <c r="E16" s="36"/>
      <c r="F16" s="39"/>
      <c r="G16" s="39"/>
      <c r="H16" s="39"/>
      <c r="I16" s="6"/>
      <c r="J16" s="6"/>
      <c r="K16" s="4"/>
      <c r="L16" s="4"/>
      <c r="M16" s="4"/>
    </row>
    <row r="17" spans="1:13" x14ac:dyDescent="0.25">
      <c r="A17" s="302" t="s">
        <v>255</v>
      </c>
      <c r="B17" s="24">
        <v>65</v>
      </c>
      <c r="C17" s="119" t="s">
        <v>79</v>
      </c>
      <c r="D17" s="54">
        <f>IF(A17="",0,VLOOKUP(A17,'Universal Input Prices'!$A$26:$B$30, 2))</f>
        <v>0.25000000000000006</v>
      </c>
      <c r="E17" s="34">
        <v>0.33</v>
      </c>
      <c r="F17" s="39">
        <f>D17*B17</f>
        <v>16.250000000000004</v>
      </c>
      <c r="G17" s="39">
        <f>F17*(1-E17)</f>
        <v>10.887500000000001</v>
      </c>
      <c r="H17" s="39">
        <f>F17*E17</f>
        <v>5.3625000000000016</v>
      </c>
      <c r="I17" s="6"/>
      <c r="J17" s="6"/>
      <c r="K17" s="4"/>
      <c r="L17" s="4"/>
      <c r="M17" s="4"/>
    </row>
    <row r="18" spans="1:13" x14ac:dyDescent="0.25">
      <c r="A18" s="302" t="s">
        <v>136</v>
      </c>
      <c r="B18" s="24">
        <v>30</v>
      </c>
      <c r="C18" s="119" t="s">
        <v>79</v>
      </c>
      <c r="D18" s="54">
        <f>IF(A18="",0,VLOOKUP(A18,'Universal Input Prices'!$A$26:$B$30, 2))</f>
        <v>0.47</v>
      </c>
      <c r="E18" s="34">
        <v>0.33</v>
      </c>
      <c r="F18" s="39">
        <f>D18*B18</f>
        <v>14.1</v>
      </c>
      <c r="G18" s="39">
        <f>F18*(1-E18)</f>
        <v>9.4469999999999992</v>
      </c>
      <c r="H18" s="39">
        <f>F18*E18</f>
        <v>4.6530000000000005</v>
      </c>
      <c r="I18" s="21"/>
      <c r="J18" s="8"/>
      <c r="K18" s="4"/>
      <c r="L18" s="4"/>
      <c r="M18" s="4"/>
    </row>
    <row r="19" spans="1:13" x14ac:dyDescent="0.25">
      <c r="A19" s="302" t="s">
        <v>135</v>
      </c>
      <c r="B19" s="24">
        <v>55</v>
      </c>
      <c r="C19" s="119" t="s">
        <v>79</v>
      </c>
      <c r="D19" s="54">
        <f>IF(A19="",0,VLOOKUP(A19,'Universal Input Prices'!$A$26:$B$27, 2))</f>
        <v>0.41015625</v>
      </c>
      <c r="E19" s="34">
        <v>0.33</v>
      </c>
      <c r="F19" s="39">
        <f>D19*B19</f>
        <v>22.55859375</v>
      </c>
      <c r="G19" s="39">
        <f>F19*(1-E19)</f>
        <v>15.114257812499998</v>
      </c>
      <c r="H19" s="39">
        <f>F19*E19</f>
        <v>7.4443359375</v>
      </c>
      <c r="I19" s="21"/>
      <c r="J19" s="8"/>
      <c r="K19" s="4"/>
      <c r="L19" s="4"/>
      <c r="M19" s="4"/>
    </row>
    <row r="20" spans="1:13" x14ac:dyDescent="0.25">
      <c r="A20" s="4" t="s">
        <v>15</v>
      </c>
      <c r="B20" s="27"/>
      <c r="C20" s="119"/>
      <c r="D20" s="8"/>
      <c r="E20" s="36"/>
      <c r="F20" s="39"/>
      <c r="G20" s="39"/>
      <c r="H20" s="39"/>
      <c r="I20" s="6"/>
      <c r="J20" s="6"/>
      <c r="K20" s="4"/>
      <c r="L20" s="4"/>
      <c r="M20" s="4"/>
    </row>
    <row r="21" spans="1:13" x14ac:dyDescent="0.25">
      <c r="A21" s="2" t="s">
        <v>236</v>
      </c>
      <c r="B21" s="24">
        <v>1</v>
      </c>
      <c r="C21" s="119" t="s">
        <v>14</v>
      </c>
      <c r="D21" s="14">
        <v>22.75</v>
      </c>
      <c r="E21" s="34">
        <v>0.33</v>
      </c>
      <c r="F21" s="39">
        <f t="shared" ref="F21:F35" si="0">D21*B21</f>
        <v>22.75</v>
      </c>
      <c r="G21" s="39">
        <f t="shared" ref="G21:G35" si="1">F21*(1-E21)</f>
        <v>15.242499999999998</v>
      </c>
      <c r="H21" s="39">
        <f t="shared" ref="H21:H35" si="2">F21*E21</f>
        <v>7.5075000000000003</v>
      </c>
      <c r="I21" s="21"/>
      <c r="J21" s="8"/>
      <c r="K21" s="4"/>
      <c r="L21" s="4"/>
      <c r="M21" s="4"/>
    </row>
    <row r="22" spans="1:13" x14ac:dyDescent="0.25">
      <c r="A22" s="7" t="s">
        <v>43</v>
      </c>
      <c r="B22" s="24">
        <v>1</v>
      </c>
      <c r="C22" s="119" t="s">
        <v>14</v>
      </c>
      <c r="D22" s="14">
        <v>15</v>
      </c>
      <c r="E22" s="44">
        <v>0.33</v>
      </c>
      <c r="F22" s="39">
        <f t="shared" si="0"/>
        <v>15</v>
      </c>
      <c r="G22" s="39">
        <f t="shared" si="1"/>
        <v>10.049999999999999</v>
      </c>
      <c r="H22" s="39">
        <f t="shared" si="2"/>
        <v>4.95</v>
      </c>
      <c r="I22" s="21"/>
      <c r="J22" s="8"/>
      <c r="K22" s="4"/>
      <c r="L22" s="4"/>
      <c r="M22" s="4"/>
    </row>
    <row r="23" spans="1:13" x14ac:dyDescent="0.25">
      <c r="A23" s="2" t="s">
        <v>279</v>
      </c>
      <c r="B23" s="24">
        <v>0.67</v>
      </c>
      <c r="C23" s="119" t="s">
        <v>14</v>
      </c>
      <c r="D23" s="14">
        <v>9.8000000000000007</v>
      </c>
      <c r="E23" s="34">
        <v>0.33</v>
      </c>
      <c r="F23" s="39">
        <f t="shared" si="0"/>
        <v>6.5660000000000007</v>
      </c>
      <c r="G23" s="39">
        <f t="shared" si="1"/>
        <v>4.3992199999999997</v>
      </c>
      <c r="H23" s="39">
        <f t="shared" si="2"/>
        <v>2.1667800000000002</v>
      </c>
      <c r="I23" s="21"/>
      <c r="J23" s="8"/>
      <c r="K23" s="4"/>
      <c r="L23" s="4"/>
      <c r="M23" s="4"/>
    </row>
    <row r="24" spans="1:13" x14ac:dyDescent="0.25">
      <c r="A24" s="2" t="s">
        <v>47</v>
      </c>
      <c r="B24" s="5">
        <f>B9</f>
        <v>60</v>
      </c>
      <c r="C24" s="119" t="s">
        <v>54</v>
      </c>
      <c r="D24" s="14">
        <v>0.85</v>
      </c>
      <c r="E24" s="34">
        <v>0</v>
      </c>
      <c r="F24" s="39">
        <f t="shared" si="0"/>
        <v>51</v>
      </c>
      <c r="G24" s="39">
        <f t="shared" si="1"/>
        <v>51</v>
      </c>
      <c r="H24" s="39">
        <f t="shared" si="2"/>
        <v>0</v>
      </c>
      <c r="I24" s="21"/>
      <c r="J24" s="8"/>
      <c r="K24" s="4"/>
      <c r="L24" s="4"/>
      <c r="M24" s="4"/>
    </row>
    <row r="25" spans="1:13" x14ac:dyDescent="0.25">
      <c r="A25" s="7" t="s">
        <v>20</v>
      </c>
      <c r="B25" s="24">
        <v>1</v>
      </c>
      <c r="C25" s="119" t="s">
        <v>14</v>
      </c>
      <c r="D25" s="14">
        <v>0</v>
      </c>
      <c r="E25" s="34">
        <v>0</v>
      </c>
      <c r="F25" s="39">
        <f t="shared" si="0"/>
        <v>0</v>
      </c>
      <c r="G25" s="39">
        <f t="shared" si="1"/>
        <v>0</v>
      </c>
      <c r="H25" s="39">
        <f t="shared" si="2"/>
        <v>0</v>
      </c>
      <c r="I25" s="21"/>
      <c r="J25" s="8"/>
      <c r="K25" s="4"/>
      <c r="L25" s="4"/>
      <c r="M25" s="4"/>
    </row>
    <row r="26" spans="1:13" x14ac:dyDescent="0.25">
      <c r="A26" s="2" t="s">
        <v>21</v>
      </c>
      <c r="B26" s="24">
        <v>1</v>
      </c>
      <c r="C26" s="119" t="s">
        <v>14</v>
      </c>
      <c r="D26" s="14">
        <v>0</v>
      </c>
      <c r="E26" s="34">
        <v>0</v>
      </c>
      <c r="F26" s="39">
        <f>D26*B26</f>
        <v>0</v>
      </c>
      <c r="G26" s="39">
        <f>F26*(1-E26)</f>
        <v>0</v>
      </c>
      <c r="H26" s="39">
        <f>F26*E26</f>
        <v>0</v>
      </c>
      <c r="I26" s="21"/>
      <c r="J26" s="8"/>
      <c r="K26" s="4"/>
      <c r="L26" s="4"/>
      <c r="M26" s="4"/>
    </row>
    <row r="27" spans="1:13" x14ac:dyDescent="0.25">
      <c r="A27" s="291" t="s">
        <v>278</v>
      </c>
      <c r="B27" s="24">
        <v>1</v>
      </c>
      <c r="C27" s="265" t="s">
        <v>14</v>
      </c>
      <c r="D27" s="14">
        <v>21</v>
      </c>
      <c r="E27" s="34">
        <v>0.33</v>
      </c>
      <c r="F27" s="39">
        <f t="shared" si="0"/>
        <v>21</v>
      </c>
      <c r="G27" s="39">
        <f t="shared" si="1"/>
        <v>14.069999999999999</v>
      </c>
      <c r="H27" s="39">
        <f t="shared" si="2"/>
        <v>6.9300000000000006</v>
      </c>
      <c r="I27" s="21"/>
      <c r="J27" s="8"/>
      <c r="K27" s="4"/>
      <c r="L27" s="4"/>
      <c r="M27" s="4"/>
    </row>
    <row r="28" spans="1:13" x14ac:dyDescent="0.25">
      <c r="A28" s="16" t="s">
        <v>40</v>
      </c>
      <c r="B28" s="24">
        <v>1</v>
      </c>
      <c r="C28" s="265" t="s">
        <v>14</v>
      </c>
      <c r="D28" s="14">
        <v>0</v>
      </c>
      <c r="E28" s="34">
        <v>0</v>
      </c>
      <c r="F28" s="39">
        <f t="shared" si="0"/>
        <v>0</v>
      </c>
      <c r="G28" s="39">
        <f t="shared" si="1"/>
        <v>0</v>
      </c>
      <c r="H28" s="39">
        <f t="shared" si="2"/>
        <v>0</v>
      </c>
      <c r="I28" s="21"/>
      <c r="J28" s="8"/>
      <c r="K28" s="4"/>
      <c r="L28" s="4"/>
      <c r="M28" s="4"/>
    </row>
    <row r="29" spans="1:13" x14ac:dyDescent="0.25">
      <c r="A29" s="16" t="s">
        <v>40</v>
      </c>
      <c r="B29" s="24">
        <v>1</v>
      </c>
      <c r="C29" s="265" t="s">
        <v>14</v>
      </c>
      <c r="D29" s="14">
        <v>0</v>
      </c>
      <c r="E29" s="34">
        <v>0</v>
      </c>
      <c r="F29" s="39">
        <f t="shared" si="0"/>
        <v>0</v>
      </c>
      <c r="G29" s="39">
        <f t="shared" si="1"/>
        <v>0</v>
      </c>
      <c r="H29" s="39">
        <f t="shared" si="2"/>
        <v>0</v>
      </c>
      <c r="I29" s="21"/>
      <c r="J29" s="8"/>
      <c r="K29" s="4"/>
      <c r="L29" s="4"/>
      <c r="M29" s="4"/>
    </row>
    <row r="30" spans="1:13" x14ac:dyDescent="0.25">
      <c r="A30" s="4" t="s">
        <v>22</v>
      </c>
      <c r="B30" s="24">
        <v>1</v>
      </c>
      <c r="C30" s="119" t="s">
        <v>14</v>
      </c>
      <c r="D30" s="14">
        <v>33</v>
      </c>
      <c r="E30" s="34">
        <v>0.33</v>
      </c>
      <c r="F30" s="39">
        <f t="shared" si="0"/>
        <v>33</v>
      </c>
      <c r="G30" s="39">
        <f t="shared" si="1"/>
        <v>22.11</v>
      </c>
      <c r="H30" s="39">
        <f t="shared" si="2"/>
        <v>10.89</v>
      </c>
      <c r="I30" s="21"/>
      <c r="J30" s="8"/>
      <c r="K30" s="4"/>
      <c r="L30" s="4"/>
      <c r="M30" s="4"/>
    </row>
    <row r="31" spans="1:13" x14ac:dyDescent="0.25">
      <c r="A31" s="4" t="s">
        <v>140</v>
      </c>
      <c r="B31" s="28">
        <v>0.69499999999999995</v>
      </c>
      <c r="C31" s="119" t="s">
        <v>23</v>
      </c>
      <c r="D31" s="55">
        <f>'Universal Input Prices'!$B$31</f>
        <v>12.45</v>
      </c>
      <c r="E31" s="34">
        <v>0</v>
      </c>
      <c r="F31" s="39">
        <f t="shared" si="0"/>
        <v>8.6527499999999993</v>
      </c>
      <c r="G31" s="39">
        <f t="shared" si="1"/>
        <v>8.6527499999999993</v>
      </c>
      <c r="H31" s="39">
        <f t="shared" si="2"/>
        <v>0</v>
      </c>
      <c r="I31" s="21"/>
      <c r="J31" s="8"/>
      <c r="K31" s="4"/>
      <c r="L31" s="4"/>
      <c r="M31" s="4"/>
    </row>
    <row r="32" spans="1:13" x14ac:dyDescent="0.25">
      <c r="A32" s="4" t="s">
        <v>24</v>
      </c>
      <c r="B32" s="28">
        <v>0.89600000000000002</v>
      </c>
      <c r="C32" s="119" t="s">
        <v>23</v>
      </c>
      <c r="D32" s="55">
        <f>'Universal Input Prices'!$B$31</f>
        <v>12.45</v>
      </c>
      <c r="E32" s="34">
        <v>0</v>
      </c>
      <c r="F32" s="39">
        <f t="shared" si="0"/>
        <v>11.155199999999999</v>
      </c>
      <c r="G32" s="39">
        <f t="shared" si="1"/>
        <v>11.155199999999999</v>
      </c>
      <c r="H32" s="39">
        <f t="shared" si="2"/>
        <v>0</v>
      </c>
      <c r="I32" s="21"/>
      <c r="J32" s="8"/>
      <c r="K32" s="4"/>
      <c r="L32" s="4"/>
      <c r="M32" s="4"/>
    </row>
    <row r="33" spans="1:13" x14ac:dyDescent="0.25">
      <c r="A33" s="4" t="s">
        <v>25</v>
      </c>
      <c r="B33" s="28">
        <v>1.91</v>
      </c>
      <c r="C33" s="119" t="s">
        <v>26</v>
      </c>
      <c r="D33" s="55">
        <f>'Universal Input Prices'!$B$32</f>
        <v>1.81</v>
      </c>
      <c r="E33" s="34">
        <v>0</v>
      </c>
      <c r="F33" s="39">
        <f t="shared" si="0"/>
        <v>3.4571000000000001</v>
      </c>
      <c r="G33" s="39">
        <f t="shared" si="1"/>
        <v>3.4571000000000001</v>
      </c>
      <c r="H33" s="39">
        <f t="shared" si="2"/>
        <v>0</v>
      </c>
      <c r="I33" s="21"/>
      <c r="J33" s="8"/>
      <c r="K33" s="4"/>
      <c r="L33" s="4"/>
      <c r="M33" s="4"/>
    </row>
    <row r="34" spans="1:13" x14ac:dyDescent="0.25">
      <c r="A34" s="4" t="s">
        <v>27</v>
      </c>
      <c r="B34" s="28">
        <v>2.0492308000000001</v>
      </c>
      <c r="C34" s="119" t="s">
        <v>26</v>
      </c>
      <c r="D34" s="55">
        <f>'Universal Input Prices'!$B$33</f>
        <v>1.9259999999999999</v>
      </c>
      <c r="E34" s="34">
        <v>0</v>
      </c>
      <c r="F34" s="39">
        <f t="shared" si="0"/>
        <v>3.9468185208</v>
      </c>
      <c r="G34" s="39">
        <f t="shared" si="1"/>
        <v>3.9468185208</v>
      </c>
      <c r="H34" s="39">
        <f t="shared" si="2"/>
        <v>0</v>
      </c>
      <c r="I34" s="21"/>
      <c r="J34" s="8"/>
      <c r="K34" s="4"/>
      <c r="L34" s="4"/>
      <c r="M34" s="4"/>
    </row>
    <row r="35" spans="1:13" x14ac:dyDescent="0.25">
      <c r="A35" s="4" t="s">
        <v>28</v>
      </c>
      <c r="B35" s="28">
        <v>10</v>
      </c>
      <c r="C35" s="119" t="s">
        <v>29</v>
      </c>
      <c r="D35" s="173">
        <f>'Universal Input Prices'!$B$34</f>
        <v>3.6</v>
      </c>
      <c r="E35" s="34">
        <v>0.33</v>
      </c>
      <c r="F35" s="39">
        <f t="shared" si="0"/>
        <v>36</v>
      </c>
      <c r="G35" s="39">
        <f t="shared" si="1"/>
        <v>24.119999999999997</v>
      </c>
      <c r="H35" s="39">
        <f t="shared" si="2"/>
        <v>11.88</v>
      </c>
      <c r="I35" s="21"/>
      <c r="J35" s="8"/>
      <c r="K35" s="4"/>
      <c r="L35" s="4"/>
      <c r="M35" s="4"/>
    </row>
    <row r="36" spans="1:13" hidden="1" x14ac:dyDescent="0.25">
      <c r="A36" s="4" t="s">
        <v>248</v>
      </c>
      <c r="B36" s="28">
        <v>75.430000000000007</v>
      </c>
      <c r="C36" s="119"/>
      <c r="D36" s="55"/>
      <c r="E36" s="34"/>
      <c r="F36" s="39"/>
      <c r="G36" s="39"/>
      <c r="H36" s="39"/>
      <c r="I36" s="4"/>
    </row>
    <row r="37" spans="1:13" hidden="1" x14ac:dyDescent="0.25">
      <c r="A37" s="4" t="s">
        <v>249</v>
      </c>
      <c r="B37" s="48">
        <f>B35*18.85694/B36</f>
        <v>2.4999257589818376</v>
      </c>
      <c r="C37" s="119"/>
      <c r="D37" s="55"/>
      <c r="E37" s="34"/>
      <c r="F37" s="39"/>
      <c r="G37" s="39"/>
      <c r="H37" s="39"/>
      <c r="I37" s="4"/>
    </row>
    <row r="38" spans="1:13" x14ac:dyDescent="0.25">
      <c r="A38" s="4" t="s">
        <v>30</v>
      </c>
      <c r="B38" s="5"/>
      <c r="C38" s="119"/>
      <c r="D38" s="15"/>
      <c r="E38" s="36"/>
      <c r="F38" s="39"/>
      <c r="G38" s="39"/>
      <c r="H38" s="39"/>
      <c r="I38" s="6"/>
      <c r="J38" s="6"/>
      <c r="K38" s="4"/>
      <c r="L38" s="4"/>
      <c r="M38" s="4"/>
    </row>
    <row r="39" spans="1:13" x14ac:dyDescent="0.25">
      <c r="A39" s="7" t="s">
        <v>31</v>
      </c>
      <c r="B39" s="5">
        <v>1</v>
      </c>
      <c r="C39" s="119" t="s">
        <v>14</v>
      </c>
      <c r="D39" s="14">
        <v>12.35</v>
      </c>
      <c r="E39" s="34">
        <v>0</v>
      </c>
      <c r="F39" s="39">
        <f>D39*B39</f>
        <v>12.35</v>
      </c>
      <c r="G39" s="39">
        <f>F39*(1-E39)</f>
        <v>12.35</v>
      </c>
      <c r="H39" s="39">
        <f>F39*E39</f>
        <v>0</v>
      </c>
      <c r="I39" s="21"/>
      <c r="J39" s="8"/>
      <c r="K39" s="4"/>
      <c r="L39" s="4"/>
      <c r="M39" s="4"/>
    </row>
    <row r="40" spans="1:13" x14ac:dyDescent="0.25">
      <c r="A40" s="7" t="s">
        <v>2</v>
      </c>
      <c r="B40" s="5">
        <v>1</v>
      </c>
      <c r="C40" s="119" t="s">
        <v>14</v>
      </c>
      <c r="D40" s="14">
        <v>3.67</v>
      </c>
      <c r="E40" s="34">
        <v>0</v>
      </c>
      <c r="F40" s="39">
        <f>D40*B40</f>
        <v>3.67</v>
      </c>
      <c r="G40" s="39">
        <f>F40*(1-E40)</f>
        <v>3.67</v>
      </c>
      <c r="H40" s="39">
        <f>F40*E40</f>
        <v>0</v>
      </c>
      <c r="I40" s="21"/>
      <c r="J40" s="8"/>
      <c r="K40" s="4"/>
      <c r="L40" s="4"/>
      <c r="M40" s="4"/>
    </row>
    <row r="41" spans="1:13" x14ac:dyDescent="0.25">
      <c r="A41" s="7" t="s">
        <v>32</v>
      </c>
      <c r="B41" s="5">
        <f>Sorghum_Inches</f>
        <v>10</v>
      </c>
      <c r="C41" s="119" t="s">
        <v>29</v>
      </c>
      <c r="D41" s="14">
        <v>4.04</v>
      </c>
      <c r="E41" s="34">
        <v>0</v>
      </c>
      <c r="F41" s="39">
        <f>D41*B41</f>
        <v>40.4</v>
      </c>
      <c r="G41" s="39">
        <f>F41*(1-E41)</f>
        <v>40.4</v>
      </c>
      <c r="H41" s="39">
        <f>F41*E41</f>
        <v>0</v>
      </c>
      <c r="I41" s="21"/>
      <c r="J41" s="8"/>
      <c r="K41" s="4"/>
      <c r="L41" s="4"/>
      <c r="M41" s="4"/>
    </row>
    <row r="42" spans="1:13" x14ac:dyDescent="0.25">
      <c r="A42" s="7" t="s">
        <v>204</v>
      </c>
      <c r="B42" s="5">
        <v>1</v>
      </c>
      <c r="C42" s="119" t="s">
        <v>14</v>
      </c>
      <c r="D42" s="14">
        <v>0</v>
      </c>
      <c r="E42" s="34">
        <v>1</v>
      </c>
      <c r="F42" s="39">
        <f>D42*B42</f>
        <v>0</v>
      </c>
      <c r="G42" s="39">
        <f>F42*(1-E42)</f>
        <v>0</v>
      </c>
      <c r="H42" s="39">
        <f>F42*E42</f>
        <v>0</v>
      </c>
      <c r="I42" s="21"/>
      <c r="J42" s="8"/>
      <c r="K42" s="4"/>
      <c r="L42" s="4"/>
      <c r="M42" s="4"/>
    </row>
    <row r="43" spans="1:13" x14ac:dyDescent="0.25">
      <c r="A43" s="7" t="s">
        <v>33</v>
      </c>
      <c r="B43" s="5">
        <v>1</v>
      </c>
      <c r="C43" s="119" t="s">
        <v>14</v>
      </c>
      <c r="D43" s="14">
        <v>2.5099999999999998</v>
      </c>
      <c r="E43" s="34">
        <v>0</v>
      </c>
      <c r="F43" s="39">
        <f>D43*B43</f>
        <v>2.5099999999999998</v>
      </c>
      <c r="G43" s="39">
        <f>F43*(1-E43)</f>
        <v>2.5099999999999998</v>
      </c>
      <c r="H43" s="39">
        <f>F43*E43</f>
        <v>0</v>
      </c>
      <c r="I43" s="21"/>
      <c r="J43" s="8"/>
      <c r="K43" s="4"/>
      <c r="L43" s="4"/>
      <c r="M43" s="4"/>
    </row>
    <row r="44" spans="1:13" x14ac:dyDescent="0.25">
      <c r="A44" s="4" t="s">
        <v>34</v>
      </c>
      <c r="B44" s="89">
        <f>'Universal Input Prices'!$B$35</f>
        <v>5.3999999999999999E-2</v>
      </c>
      <c r="C44" s="119"/>
      <c r="D44" s="22"/>
      <c r="E44" s="36"/>
      <c r="F44" s="158">
        <f>(SUM(F15:F23,F25:F43))*$B44/2.5</f>
        <v>6.0645555850492796</v>
      </c>
      <c r="G44" s="158">
        <f t="shared" ref="G44:H44" si="3">(SUM(G15:G23,G25:G43))*$B44/2</f>
        <v>5.9125233509990993</v>
      </c>
      <c r="H44" s="158">
        <f t="shared" si="3"/>
        <v>1.6681711303125002</v>
      </c>
      <c r="I44" s="21"/>
      <c r="J44" s="8"/>
      <c r="K44" s="4"/>
      <c r="L44" s="4"/>
      <c r="M44" s="4"/>
    </row>
    <row r="45" spans="1:13" x14ac:dyDescent="0.25">
      <c r="A45" s="4"/>
      <c r="B45" s="10"/>
      <c r="C45" s="119"/>
      <c r="D45" s="8"/>
      <c r="E45" s="36"/>
      <c r="F45" s="39"/>
      <c r="G45" s="39"/>
      <c r="H45" s="39"/>
      <c r="I45" s="6"/>
      <c r="J45" s="6"/>
      <c r="K45" s="4"/>
      <c r="L45" s="4"/>
      <c r="M45" s="4"/>
    </row>
    <row r="46" spans="1:13" x14ac:dyDescent="0.25">
      <c r="A46" s="4" t="s">
        <v>205</v>
      </c>
      <c r="B46" s="10"/>
      <c r="C46" s="119"/>
      <c r="D46" s="8"/>
      <c r="E46" s="36"/>
      <c r="F46" s="39">
        <f>SUM(F15:F44)</f>
        <v>337.83101785584927</v>
      </c>
      <c r="G46" s="39">
        <f>SUM(G15:G44)</f>
        <v>275.89486968429907</v>
      </c>
      <c r="H46" s="39">
        <f>SUM(H15:H44)</f>
        <v>63.452287067812506</v>
      </c>
      <c r="I46" s="11"/>
      <c r="J46" s="8"/>
      <c r="K46" s="4"/>
      <c r="L46" s="4"/>
      <c r="M46" s="4"/>
    </row>
    <row r="47" spans="1:13" ht="13.8" x14ac:dyDescent="0.25">
      <c r="A47" s="12" t="s">
        <v>206</v>
      </c>
      <c r="B47" s="10"/>
      <c r="C47" s="119"/>
      <c r="D47" s="8"/>
      <c r="E47" s="36"/>
      <c r="F47" s="72">
        <f>F12-F46</f>
        <v>7.168982144150732</v>
      </c>
      <c r="G47" s="72">
        <f>G12-G46</f>
        <v>-44.74486968429909</v>
      </c>
      <c r="H47" s="72">
        <f>H12-H46</f>
        <v>50.397712932187503</v>
      </c>
      <c r="I47" s="11"/>
      <c r="J47" s="8"/>
      <c r="K47" s="4"/>
      <c r="L47" s="4"/>
      <c r="M47" s="4"/>
    </row>
    <row r="48" spans="1:13" x14ac:dyDescent="0.25">
      <c r="A48" s="4"/>
      <c r="B48" s="10"/>
      <c r="C48" s="119"/>
      <c r="D48" s="8"/>
      <c r="E48" s="36"/>
      <c r="F48" s="39"/>
      <c r="G48" s="39"/>
      <c r="H48" s="39"/>
      <c r="I48" s="11"/>
      <c r="J48" s="8"/>
      <c r="K48" s="4"/>
      <c r="L48" s="4"/>
      <c r="M48" s="4"/>
    </row>
    <row r="49" spans="1:13" x14ac:dyDescent="0.25">
      <c r="A49" s="4" t="s">
        <v>208</v>
      </c>
      <c r="B49" s="10"/>
      <c r="C49" s="119"/>
      <c r="D49" s="8"/>
      <c r="E49" s="37"/>
      <c r="F49" s="39"/>
      <c r="G49" s="39"/>
      <c r="H49" s="39"/>
      <c r="I49" s="11"/>
      <c r="J49" s="6"/>
      <c r="K49" s="4"/>
      <c r="L49" s="4"/>
      <c r="M49" s="4"/>
    </row>
    <row r="50" spans="1:13" x14ac:dyDescent="0.25">
      <c r="A50" s="7" t="s">
        <v>31</v>
      </c>
      <c r="B50" s="5">
        <v>1</v>
      </c>
      <c r="C50" s="119" t="s">
        <v>14</v>
      </c>
      <c r="D50" s="14">
        <v>19.23</v>
      </c>
      <c r="E50" s="34">
        <v>0</v>
      </c>
      <c r="F50" s="39">
        <f t="shared" ref="F50:F55" si="4">D50*B50</f>
        <v>19.23</v>
      </c>
      <c r="G50" s="39">
        <f t="shared" ref="G50:G58" si="5">F50*(1-E50)</f>
        <v>19.23</v>
      </c>
      <c r="H50" s="39">
        <f t="shared" ref="H50:H58" si="6">F50*E50</f>
        <v>0</v>
      </c>
      <c r="I50" s="21"/>
      <c r="J50" s="8"/>
      <c r="K50" s="4"/>
      <c r="L50" s="4"/>
      <c r="M50" s="4"/>
    </row>
    <row r="51" spans="1:13" x14ac:dyDescent="0.25">
      <c r="A51" s="7" t="s">
        <v>2</v>
      </c>
      <c r="B51" s="5">
        <v>1</v>
      </c>
      <c r="C51" s="119" t="s">
        <v>14</v>
      </c>
      <c r="D51" s="14">
        <v>5.14</v>
      </c>
      <c r="E51" s="34">
        <v>0</v>
      </c>
      <c r="F51" s="39">
        <f t="shared" si="4"/>
        <v>5.14</v>
      </c>
      <c r="G51" s="39">
        <f t="shared" si="5"/>
        <v>5.14</v>
      </c>
      <c r="H51" s="39">
        <f t="shared" si="6"/>
        <v>0</v>
      </c>
      <c r="I51" s="21"/>
      <c r="J51" s="8"/>
      <c r="K51" s="4"/>
      <c r="L51" s="4"/>
      <c r="M51" s="4"/>
    </row>
    <row r="52" spans="1:13" x14ac:dyDescent="0.25">
      <c r="A52" s="2" t="s">
        <v>273</v>
      </c>
      <c r="B52" s="5">
        <v>1</v>
      </c>
      <c r="C52" s="119" t="s">
        <v>14</v>
      </c>
      <c r="D52" s="14">
        <v>47.34</v>
      </c>
      <c r="E52" s="34">
        <v>0</v>
      </c>
      <c r="F52" s="39">
        <f t="shared" si="4"/>
        <v>47.34</v>
      </c>
      <c r="G52" s="39">
        <f t="shared" si="5"/>
        <v>47.34</v>
      </c>
      <c r="H52" s="39">
        <f t="shared" si="6"/>
        <v>0</v>
      </c>
      <c r="I52" s="21"/>
      <c r="J52" s="8"/>
      <c r="K52" s="4"/>
      <c r="L52" s="4"/>
      <c r="M52" s="4"/>
    </row>
    <row r="53" spans="1:13" x14ac:dyDescent="0.25">
      <c r="A53" s="7" t="s">
        <v>204</v>
      </c>
      <c r="B53" s="5">
        <v>1</v>
      </c>
      <c r="C53" s="119" t="s">
        <v>14</v>
      </c>
      <c r="D53" s="14">
        <v>0</v>
      </c>
      <c r="E53" s="34">
        <v>1</v>
      </c>
      <c r="F53" s="39">
        <f t="shared" si="4"/>
        <v>0</v>
      </c>
      <c r="G53" s="39">
        <f t="shared" si="5"/>
        <v>0</v>
      </c>
      <c r="H53" s="39">
        <f t="shared" si="6"/>
        <v>0</v>
      </c>
      <c r="I53" s="21"/>
      <c r="J53" s="8"/>
      <c r="K53" s="4"/>
      <c r="L53" s="4"/>
      <c r="M53" s="4"/>
    </row>
    <row r="54" spans="1:13" x14ac:dyDescent="0.25">
      <c r="A54" s="7" t="s">
        <v>33</v>
      </c>
      <c r="B54" s="5">
        <v>1</v>
      </c>
      <c r="C54" s="119" t="s">
        <v>14</v>
      </c>
      <c r="D54" s="14">
        <v>3.66</v>
      </c>
      <c r="E54" s="34">
        <v>0</v>
      </c>
      <c r="F54" s="39">
        <f t="shared" si="4"/>
        <v>3.66</v>
      </c>
      <c r="G54" s="39">
        <f t="shared" si="5"/>
        <v>3.66</v>
      </c>
      <c r="H54" s="39">
        <f t="shared" si="6"/>
        <v>0</v>
      </c>
      <c r="I54" s="21"/>
      <c r="J54" s="8"/>
      <c r="K54" s="4"/>
      <c r="L54" s="4"/>
      <c r="M54" s="4"/>
    </row>
    <row r="55" spans="1:13" x14ac:dyDescent="0.25">
      <c r="A55" s="7" t="s">
        <v>35</v>
      </c>
      <c r="B55" s="5">
        <v>1</v>
      </c>
      <c r="C55" s="119" t="s">
        <v>14</v>
      </c>
      <c r="D55" s="14">
        <v>0</v>
      </c>
      <c r="E55" s="34">
        <v>0</v>
      </c>
      <c r="F55" s="39">
        <f t="shared" si="4"/>
        <v>0</v>
      </c>
      <c r="G55" s="39">
        <f t="shared" si="5"/>
        <v>0</v>
      </c>
      <c r="H55" s="39">
        <f t="shared" si="6"/>
        <v>0</v>
      </c>
      <c r="I55" s="21"/>
      <c r="J55" s="8"/>
      <c r="K55" s="4"/>
      <c r="L55" s="4"/>
      <c r="M55" s="4"/>
    </row>
    <row r="56" spans="1:13" x14ac:dyDescent="0.25">
      <c r="A56" s="2" t="s">
        <v>272</v>
      </c>
      <c r="B56" s="5">
        <v>1</v>
      </c>
      <c r="C56" s="119" t="s">
        <v>14</v>
      </c>
      <c r="D56" s="14">
        <v>32.299999999999997</v>
      </c>
      <c r="E56" s="34">
        <v>0</v>
      </c>
      <c r="F56" s="39">
        <f>B56*D56</f>
        <v>32.299999999999997</v>
      </c>
      <c r="G56" s="39">
        <f t="shared" si="5"/>
        <v>32.299999999999997</v>
      </c>
      <c r="H56" s="39">
        <f t="shared" si="6"/>
        <v>0</v>
      </c>
      <c r="I56" s="65"/>
      <c r="J56" s="8"/>
      <c r="K56" s="4"/>
      <c r="L56" s="4"/>
      <c r="M56" s="4"/>
    </row>
    <row r="57" spans="1:13" x14ac:dyDescent="0.25">
      <c r="A57" s="7" t="s">
        <v>36</v>
      </c>
      <c r="B57" s="43">
        <v>1</v>
      </c>
      <c r="C57" s="119" t="s">
        <v>14</v>
      </c>
      <c r="D57" s="14">
        <v>72</v>
      </c>
      <c r="E57" s="34">
        <v>1</v>
      </c>
      <c r="F57" s="39">
        <f>D57*B57</f>
        <v>72</v>
      </c>
      <c r="G57" s="39">
        <f>IF($H$6="Cash",D57,F57*(1-E57))</f>
        <v>0</v>
      </c>
      <c r="H57" s="39">
        <f>IF($H$6="Cash",0,F57*E57)</f>
        <v>72</v>
      </c>
      <c r="I57" s="21"/>
      <c r="J57" s="8"/>
      <c r="K57" s="4"/>
      <c r="L57" s="4"/>
      <c r="M57" s="4"/>
    </row>
    <row r="58" spans="1:13" x14ac:dyDescent="0.25">
      <c r="A58" s="7" t="s">
        <v>42</v>
      </c>
      <c r="B58" s="43">
        <v>1</v>
      </c>
      <c r="C58" s="119" t="s">
        <v>14</v>
      </c>
      <c r="D58" s="14">
        <v>0</v>
      </c>
      <c r="E58" s="34">
        <v>1</v>
      </c>
      <c r="F58" s="39">
        <f>B58*D58</f>
        <v>0</v>
      </c>
      <c r="G58" s="39">
        <f t="shared" si="5"/>
        <v>0</v>
      </c>
      <c r="H58" s="39">
        <f t="shared" si="6"/>
        <v>0</v>
      </c>
      <c r="I58" s="65"/>
      <c r="J58" s="8"/>
      <c r="K58" s="4"/>
      <c r="L58" s="4"/>
      <c r="M58" s="4"/>
    </row>
    <row r="59" spans="1:13" x14ac:dyDescent="0.25">
      <c r="A59" s="4" t="s">
        <v>37</v>
      </c>
      <c r="B59" s="5"/>
      <c r="C59" s="119"/>
      <c r="D59" s="10"/>
      <c r="E59" s="36"/>
      <c r="F59" s="39">
        <f>SUM(F50:F58)</f>
        <v>179.67000000000002</v>
      </c>
      <c r="G59" s="39">
        <f>SUM(G50:G58)</f>
        <v>107.67</v>
      </c>
      <c r="H59" s="39">
        <f>SUM(H50:H58)</f>
        <v>72</v>
      </c>
      <c r="I59" s="6"/>
      <c r="J59" s="8"/>
      <c r="K59" s="4"/>
      <c r="L59" s="4"/>
      <c r="M59" s="4"/>
    </row>
    <row r="60" spans="1:13" x14ac:dyDescent="0.25">
      <c r="A60" s="4" t="s">
        <v>38</v>
      </c>
      <c r="B60" s="5"/>
      <c r="C60" s="119"/>
      <c r="D60" s="10"/>
      <c r="E60" s="36"/>
      <c r="F60" s="39">
        <f>F46+F59</f>
        <v>517.50101785584934</v>
      </c>
      <c r="G60" s="39">
        <f>G46+G59</f>
        <v>383.56486968429908</v>
      </c>
      <c r="H60" s="39">
        <f>H46+H59</f>
        <v>135.45228706781251</v>
      </c>
      <c r="I60" s="6"/>
      <c r="J60" s="8"/>
      <c r="K60" s="4"/>
      <c r="L60" s="4"/>
      <c r="M60" s="4"/>
    </row>
    <row r="61" spans="1:13" ht="13.8" x14ac:dyDescent="0.25">
      <c r="A61" s="12" t="s">
        <v>39</v>
      </c>
      <c r="B61" s="5"/>
      <c r="C61" s="119"/>
      <c r="D61" s="10"/>
      <c r="E61" s="36"/>
      <c r="F61" s="72">
        <f>F12-F60</f>
        <v>-172.50101785584934</v>
      </c>
      <c r="G61" s="72">
        <f>G12-G60</f>
        <v>-152.41486968429911</v>
      </c>
      <c r="H61" s="72">
        <f>H12-H60</f>
        <v>-21.602287067812497</v>
      </c>
      <c r="I61" s="6"/>
      <c r="J61" s="8"/>
      <c r="K61" s="4"/>
      <c r="L61" s="4"/>
      <c r="M61" s="4"/>
    </row>
    <row r="62" spans="1:13" x14ac:dyDescent="0.25">
      <c r="A62" s="4"/>
      <c r="B62" s="5"/>
      <c r="C62" s="119"/>
      <c r="D62" s="10"/>
      <c r="E62" s="36"/>
      <c r="F62" s="8"/>
      <c r="G62" s="8"/>
      <c r="H62" s="8"/>
      <c r="I62" s="6"/>
      <c r="J62" s="8"/>
      <c r="K62" s="4"/>
      <c r="L62" s="4"/>
      <c r="M62" s="4"/>
    </row>
    <row r="63" spans="1:13" ht="13.8" x14ac:dyDescent="0.25">
      <c r="A63" s="113" t="s">
        <v>161</v>
      </c>
      <c r="B63" s="113"/>
      <c r="C63" s="113"/>
      <c r="D63" s="113"/>
      <c r="E63" s="114"/>
      <c r="F63" s="115">
        <f>(F61/F60)</f>
        <v>-0.33333464457822526</v>
      </c>
      <c r="G63" s="115">
        <f t="shared" ref="G63:H63" si="7">(G61/G60)</f>
        <v>-0.39736399688988017</v>
      </c>
      <c r="H63" s="115">
        <f t="shared" si="7"/>
        <v>-0.1594826306402459</v>
      </c>
      <c r="I63" s="4"/>
      <c r="J63" s="4"/>
      <c r="K63" s="4"/>
      <c r="L63" s="4"/>
      <c r="M63" s="4"/>
    </row>
    <row r="64" spans="1:13" x14ac:dyDescent="0.25">
      <c r="B64" s="1"/>
      <c r="C64" s="41"/>
      <c r="D64" s="46"/>
      <c r="E64" s="36"/>
      <c r="F64" s="42"/>
      <c r="G64" s="42"/>
      <c r="H64" s="42"/>
      <c r="I64" s="64"/>
      <c r="J64" s="42"/>
      <c r="K64" s="4"/>
      <c r="L64" s="4"/>
      <c r="M64" s="4"/>
    </row>
    <row r="65" spans="3:13" x14ac:dyDescent="0.25">
      <c r="C65" s="4"/>
      <c r="D65" s="4"/>
      <c r="E65" s="10"/>
      <c r="F65" s="4"/>
      <c r="G65" s="4"/>
      <c r="H65" s="4"/>
      <c r="I65" s="4"/>
      <c r="J65" s="4"/>
      <c r="K65" s="4"/>
      <c r="L65" s="4"/>
      <c r="M65" s="4"/>
    </row>
    <row r="66" spans="3:13" x14ac:dyDescent="0.25">
      <c r="C66" s="4"/>
      <c r="D66" s="4"/>
      <c r="E66" s="10"/>
      <c r="F66" s="4"/>
      <c r="G66" s="4"/>
      <c r="H66" s="4"/>
      <c r="I66" s="4"/>
      <c r="J66" s="4"/>
      <c r="K66" s="4"/>
      <c r="L66" s="4"/>
      <c r="M66" s="4"/>
    </row>
    <row r="67" spans="3:13" x14ac:dyDescent="0.25">
      <c r="C67" s="4"/>
      <c r="D67" s="4"/>
      <c r="E67" s="10"/>
      <c r="F67" s="4"/>
      <c r="G67" s="4"/>
      <c r="H67" s="4"/>
      <c r="I67" s="4"/>
      <c r="J67" s="4"/>
      <c r="K67" s="4"/>
      <c r="L67" s="4"/>
      <c r="M67" s="4"/>
    </row>
    <row r="68" spans="3:13" x14ac:dyDescent="0.25">
      <c r="C68" s="4"/>
      <c r="D68" s="4"/>
      <c r="E68" s="4"/>
      <c r="F68" s="4"/>
      <c r="G68" s="4"/>
      <c r="H68" s="4"/>
      <c r="I68" s="4"/>
      <c r="J68" s="4"/>
      <c r="K68" s="4"/>
      <c r="L68" s="4"/>
      <c r="M68" s="4"/>
    </row>
    <row r="69" spans="3:13" x14ac:dyDescent="0.25">
      <c r="C69" s="4"/>
      <c r="D69" s="4"/>
      <c r="E69" s="46"/>
      <c r="F69" s="4"/>
      <c r="G69" s="4"/>
      <c r="H69" s="4"/>
      <c r="I69" s="4"/>
      <c r="J69" s="4"/>
      <c r="K69" s="4"/>
      <c r="L69" s="4"/>
      <c r="M69" s="4"/>
    </row>
    <row r="70" spans="3:13" x14ac:dyDescent="0.25">
      <c r="I70" s="4"/>
      <c r="J70" s="4"/>
      <c r="K70" s="4"/>
      <c r="L70" s="4"/>
      <c r="M70"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82"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70"/>
  <sheetViews>
    <sheetView showGridLines="0" showRowColHeaders="0" workbookViewId="0">
      <pane ySplit="7" topLeftCell="A46" activePane="bottomLeft" state="frozen"/>
      <selection activeCell="B9" sqref="B9"/>
      <selection pane="bottomLeft" activeCell="E28" sqref="E28"/>
    </sheetView>
  </sheetViews>
  <sheetFormatPr defaultRowHeight="13.2" x14ac:dyDescent="0.25"/>
  <cols>
    <col min="1" max="1" width="35.5546875" customWidth="1"/>
    <col min="2" max="8" width="10.5546875" customWidth="1"/>
    <col min="9" max="9" width="9.55468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176</v>
      </c>
      <c r="B3" s="319"/>
      <c r="C3" s="319"/>
      <c r="D3" s="319"/>
      <c r="E3" s="319"/>
      <c r="F3" s="319"/>
      <c r="G3" s="319"/>
      <c r="H3" s="319"/>
      <c r="I3" s="4"/>
      <c r="J3" s="4"/>
      <c r="K3" s="4"/>
      <c r="L3" s="4"/>
      <c r="M3" s="4"/>
    </row>
    <row r="4" spans="1:20" ht="15" x14ac:dyDescent="0.25">
      <c r="A4" s="319" t="s">
        <v>269</v>
      </c>
      <c r="B4" s="319"/>
      <c r="C4" s="319"/>
      <c r="D4" s="319"/>
      <c r="E4" s="319"/>
      <c r="F4" s="319"/>
      <c r="G4" s="319"/>
      <c r="H4" s="319"/>
      <c r="I4" s="4"/>
      <c r="J4" s="4"/>
      <c r="K4" s="4"/>
      <c r="L4" s="4"/>
      <c r="M4" s="4"/>
    </row>
    <row r="5" spans="1:20" ht="13.8" x14ac:dyDescent="0.25">
      <c r="A5" s="4"/>
      <c r="B5" s="40"/>
      <c r="C5" s="40"/>
      <c r="D5" s="40"/>
      <c r="E5" s="40"/>
      <c r="G5" s="245"/>
      <c r="H5" s="242" t="s">
        <v>102</v>
      </c>
      <c r="I5" s="69" t="s">
        <v>55</v>
      </c>
      <c r="J5" s="40"/>
      <c r="K5" s="4"/>
      <c r="L5" s="4"/>
      <c r="M5" s="4"/>
      <c r="S5" s="1"/>
      <c r="T5" s="1"/>
    </row>
    <row r="6" spans="1:20" ht="13.8" x14ac:dyDescent="0.25">
      <c r="A6" s="4" t="s">
        <v>3</v>
      </c>
      <c r="B6" s="116" t="s">
        <v>4</v>
      </c>
      <c r="C6" s="116" t="s">
        <v>5</v>
      </c>
      <c r="D6" s="116" t="s">
        <v>6</v>
      </c>
      <c r="E6" s="116" t="s">
        <v>53</v>
      </c>
      <c r="F6" s="244" t="s">
        <v>151</v>
      </c>
      <c r="G6" s="244"/>
      <c r="H6" s="112" t="s">
        <v>55</v>
      </c>
      <c r="I6" s="70" t="s">
        <v>103</v>
      </c>
      <c r="J6" s="5"/>
      <c r="K6" s="41"/>
      <c r="L6" s="4"/>
      <c r="M6" s="4"/>
    </row>
    <row r="7" spans="1:20" x14ac:dyDescent="0.25">
      <c r="A7" s="4"/>
      <c r="B7" s="5"/>
      <c r="C7" s="5"/>
      <c r="D7" s="5"/>
      <c r="E7" s="116" t="s">
        <v>55</v>
      </c>
      <c r="F7" s="116" t="s">
        <v>56</v>
      </c>
      <c r="G7" s="116" t="s">
        <v>52</v>
      </c>
      <c r="H7" s="116" t="s">
        <v>53</v>
      </c>
      <c r="J7" s="6"/>
      <c r="K7" s="4"/>
      <c r="L7" s="4"/>
      <c r="M7" s="4"/>
    </row>
    <row r="8" spans="1:20" x14ac:dyDescent="0.25">
      <c r="A8" s="4" t="s">
        <v>7</v>
      </c>
      <c r="B8" s="5"/>
      <c r="C8" s="5"/>
      <c r="D8" s="5"/>
      <c r="E8" s="5"/>
      <c r="F8" s="5"/>
      <c r="G8" s="5"/>
      <c r="H8" s="5"/>
      <c r="J8" s="6"/>
      <c r="K8" s="4"/>
      <c r="L8" s="4"/>
      <c r="M8" s="4"/>
    </row>
    <row r="9" spans="1:20" x14ac:dyDescent="0.25">
      <c r="A9" s="7" t="s">
        <v>162</v>
      </c>
      <c r="B9" s="47">
        <v>45</v>
      </c>
      <c r="C9" s="119" t="s">
        <v>54</v>
      </c>
      <c r="D9" s="55">
        <f>'Universal Input Prices'!B12</f>
        <v>16.899999999999999</v>
      </c>
      <c r="E9" s="34">
        <v>0.33</v>
      </c>
      <c r="F9" s="39">
        <f>D9*B9</f>
        <v>760.49999999999989</v>
      </c>
      <c r="G9" s="39">
        <f>F9*(1-E9)</f>
        <v>509.53499999999985</v>
      </c>
      <c r="H9" s="39">
        <f>IF(H6="Cash", D57,F9*E9)</f>
        <v>250.96499999999997</v>
      </c>
      <c r="J9" s="8"/>
      <c r="K9" s="64"/>
      <c r="L9" s="4"/>
      <c r="M9" s="4"/>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264"/>
      <c r="D11" s="8"/>
      <c r="E11" s="35"/>
      <c r="F11" s="39"/>
      <c r="G11" s="39"/>
      <c r="H11" s="39"/>
      <c r="I11" s="20"/>
      <c r="J11" s="6"/>
      <c r="K11" s="4"/>
      <c r="L11" s="4"/>
      <c r="M11" s="4"/>
    </row>
    <row r="12" spans="1:20" x14ac:dyDescent="0.25">
      <c r="A12" s="4" t="s">
        <v>12</v>
      </c>
      <c r="B12" s="5"/>
      <c r="C12" s="119"/>
      <c r="D12" s="8"/>
      <c r="E12" s="35"/>
      <c r="F12" s="39">
        <f>SUM(F8:F11)</f>
        <v>760.49999999999989</v>
      </c>
      <c r="G12" s="39">
        <f>SUM(G8:G11)</f>
        <v>509.53499999999985</v>
      </c>
      <c r="H12" s="39">
        <f>SUM(H8:H11)</f>
        <v>250.96499999999997</v>
      </c>
      <c r="I12" s="20"/>
      <c r="J12" s="8"/>
      <c r="K12" s="4"/>
      <c r="L12" s="4"/>
      <c r="M12" s="4"/>
    </row>
    <row r="13" spans="1:20" x14ac:dyDescent="0.25">
      <c r="A13" s="4"/>
      <c r="B13" s="5"/>
      <c r="C13" s="119"/>
      <c r="D13" s="8"/>
      <c r="E13" s="35"/>
      <c r="F13" s="39"/>
      <c r="G13" s="39"/>
      <c r="H13" s="39"/>
      <c r="I13" s="6"/>
      <c r="J13" s="6"/>
      <c r="K13" s="4"/>
      <c r="L13" s="4"/>
      <c r="M13" s="4"/>
    </row>
    <row r="14" spans="1:20" x14ac:dyDescent="0.25">
      <c r="A14" s="4" t="s">
        <v>207</v>
      </c>
      <c r="B14" s="5"/>
      <c r="C14" s="119"/>
      <c r="D14" s="8"/>
      <c r="E14" s="35"/>
      <c r="F14" s="39"/>
      <c r="G14" s="39"/>
      <c r="H14" s="39"/>
      <c r="I14" s="6"/>
      <c r="J14" s="6"/>
      <c r="K14" s="4"/>
      <c r="L14" s="4"/>
      <c r="M14" s="4"/>
    </row>
    <row r="15" spans="1:20" x14ac:dyDescent="0.25">
      <c r="A15" s="4" t="s">
        <v>1</v>
      </c>
      <c r="B15" s="24">
        <v>0</v>
      </c>
      <c r="C15" s="119" t="s">
        <v>79</v>
      </c>
      <c r="D15" s="13">
        <v>1.9159999999999999</v>
      </c>
      <c r="E15" s="34">
        <v>0</v>
      </c>
      <c r="F15" s="39">
        <f>D15*B15</f>
        <v>0</v>
      </c>
      <c r="G15" s="39">
        <f>F15*(1-E15)</f>
        <v>0</v>
      </c>
      <c r="H15" s="39">
        <f>F15*E15</f>
        <v>0</v>
      </c>
      <c r="I15" s="21"/>
      <c r="J15" s="8"/>
      <c r="K15" s="4"/>
      <c r="L15" s="4"/>
      <c r="M15" s="4"/>
    </row>
    <row r="16" spans="1:20" x14ac:dyDescent="0.25">
      <c r="A16" s="4" t="s">
        <v>0</v>
      </c>
      <c r="B16" s="26"/>
      <c r="C16" s="119"/>
      <c r="D16" s="15"/>
      <c r="E16" s="36"/>
      <c r="F16" s="39"/>
      <c r="G16" s="39"/>
      <c r="H16" s="39"/>
      <c r="I16" s="6"/>
      <c r="J16" s="6"/>
      <c r="K16" s="4"/>
      <c r="L16" s="4"/>
      <c r="M16" s="4"/>
    </row>
    <row r="17" spans="1:13" x14ac:dyDescent="0.25">
      <c r="A17" s="302" t="s">
        <v>255</v>
      </c>
      <c r="B17" s="24">
        <v>65</v>
      </c>
      <c r="C17" s="119" t="s">
        <v>79</v>
      </c>
      <c r="D17" s="54">
        <f>IF(A17="",0,VLOOKUP(A17,'Universal Input Prices'!$A$26:$B$30, 2))</f>
        <v>0.25000000000000006</v>
      </c>
      <c r="E17" s="34">
        <v>0.33</v>
      </c>
      <c r="F17" s="39">
        <f>D17*B17</f>
        <v>16.250000000000004</v>
      </c>
      <c r="G17" s="39">
        <f>F17*(1-E17)</f>
        <v>10.887500000000001</v>
      </c>
      <c r="H17" s="39">
        <f>F17*E17</f>
        <v>5.3625000000000016</v>
      </c>
      <c r="I17" s="6"/>
      <c r="J17" s="6"/>
      <c r="K17" s="4"/>
      <c r="L17" s="4"/>
      <c r="M17" s="4"/>
    </row>
    <row r="18" spans="1:13" x14ac:dyDescent="0.25">
      <c r="A18" s="302" t="s">
        <v>136</v>
      </c>
      <c r="B18" s="24">
        <v>50</v>
      </c>
      <c r="C18" s="119" t="s">
        <v>79</v>
      </c>
      <c r="D18" s="54">
        <f>IF(A18="",0,VLOOKUP(A18,'Universal Input Prices'!$A$26:$B$30, 2))</f>
        <v>0.47</v>
      </c>
      <c r="E18" s="34">
        <v>0.33</v>
      </c>
      <c r="F18" s="39">
        <f>D18*B18</f>
        <v>23.5</v>
      </c>
      <c r="G18" s="39">
        <f>F18*(1-E18)</f>
        <v>15.744999999999997</v>
      </c>
      <c r="H18" s="39">
        <f>F18*E18</f>
        <v>7.7550000000000008</v>
      </c>
      <c r="I18" s="21"/>
      <c r="J18" s="8"/>
      <c r="K18" s="4"/>
      <c r="L18" s="4"/>
      <c r="M18" s="4"/>
    </row>
    <row r="19" spans="1:13" x14ac:dyDescent="0.25">
      <c r="A19" s="302" t="s">
        <v>135</v>
      </c>
      <c r="B19" s="24">
        <v>60</v>
      </c>
      <c r="C19" s="119" t="s">
        <v>79</v>
      </c>
      <c r="D19" s="54">
        <f>IF(A19="",0,VLOOKUP(A19,'Universal Input Prices'!$A$26:$B$30, 2))</f>
        <v>0.41015625</v>
      </c>
      <c r="E19" s="34">
        <v>0.33</v>
      </c>
      <c r="F19" s="39">
        <f>D19*B19</f>
        <v>24.609375</v>
      </c>
      <c r="G19" s="39">
        <f>F19*(1-E19)</f>
        <v>16.48828125</v>
      </c>
      <c r="H19" s="39">
        <f>F19*E19</f>
        <v>8.12109375</v>
      </c>
      <c r="I19" s="21"/>
      <c r="J19" s="8"/>
      <c r="K19" s="4"/>
      <c r="L19" s="4"/>
      <c r="M19" s="4"/>
    </row>
    <row r="20" spans="1:13" x14ac:dyDescent="0.25">
      <c r="A20" s="4" t="s">
        <v>15</v>
      </c>
      <c r="B20" s="27"/>
      <c r="C20" s="119"/>
      <c r="D20" s="8"/>
      <c r="E20" s="36"/>
      <c r="F20" s="39"/>
      <c r="G20" s="39"/>
      <c r="H20" s="39"/>
      <c r="I20" s="6"/>
      <c r="J20" s="6"/>
      <c r="K20" s="4"/>
      <c r="L20" s="4"/>
      <c r="M20" s="4"/>
    </row>
    <row r="21" spans="1:13" x14ac:dyDescent="0.25">
      <c r="A21" s="2" t="s">
        <v>236</v>
      </c>
      <c r="B21" s="24">
        <v>1</v>
      </c>
      <c r="C21" s="119" t="s">
        <v>14</v>
      </c>
      <c r="D21" s="14">
        <v>22.57</v>
      </c>
      <c r="E21" s="34">
        <v>0.33</v>
      </c>
      <c r="F21" s="39">
        <f t="shared" ref="F21:F35" si="0">D21*B21</f>
        <v>22.57</v>
      </c>
      <c r="G21" s="39">
        <f t="shared" ref="G21:G35" si="1">F21*(1-E21)</f>
        <v>15.121899999999998</v>
      </c>
      <c r="H21" s="39">
        <f t="shared" ref="H21:H35" si="2">F21*E21</f>
        <v>7.4481000000000002</v>
      </c>
      <c r="I21" s="21"/>
      <c r="J21" s="8"/>
      <c r="K21" s="4"/>
      <c r="L21" s="4"/>
      <c r="M21" s="4"/>
    </row>
    <row r="22" spans="1:13" x14ac:dyDescent="0.25">
      <c r="A22" s="7" t="s">
        <v>43</v>
      </c>
      <c r="B22" s="24">
        <v>1</v>
      </c>
      <c r="C22" s="119" t="s">
        <v>14</v>
      </c>
      <c r="D22" s="14">
        <v>15</v>
      </c>
      <c r="E22" s="44">
        <v>0.33</v>
      </c>
      <c r="F22" s="39">
        <f t="shared" si="0"/>
        <v>15</v>
      </c>
      <c r="G22" s="39">
        <f t="shared" si="1"/>
        <v>10.049999999999999</v>
      </c>
      <c r="H22" s="39">
        <f t="shared" si="2"/>
        <v>4.95</v>
      </c>
      <c r="I22" s="21"/>
      <c r="J22" s="8"/>
      <c r="K22" s="4"/>
      <c r="L22" s="4"/>
      <c r="M22" s="4"/>
    </row>
    <row r="23" spans="1:13" x14ac:dyDescent="0.25">
      <c r="A23" s="2" t="s">
        <v>277</v>
      </c>
      <c r="B23" s="24">
        <v>0.67</v>
      </c>
      <c r="C23" s="119" t="s">
        <v>14</v>
      </c>
      <c r="D23" s="14">
        <v>9.8000000000000007</v>
      </c>
      <c r="E23" s="34">
        <v>0.33</v>
      </c>
      <c r="F23" s="39">
        <f t="shared" si="0"/>
        <v>6.5660000000000007</v>
      </c>
      <c r="G23" s="39">
        <f t="shared" si="1"/>
        <v>4.3992199999999997</v>
      </c>
      <c r="H23" s="39">
        <f t="shared" si="2"/>
        <v>2.1667800000000002</v>
      </c>
      <c r="I23" s="21"/>
      <c r="J23" s="8"/>
      <c r="K23" s="4"/>
      <c r="L23" s="4"/>
      <c r="M23" s="4"/>
    </row>
    <row r="24" spans="1:13" x14ac:dyDescent="0.25">
      <c r="A24" s="2" t="s">
        <v>47</v>
      </c>
      <c r="B24" s="5">
        <f>B9</f>
        <v>45</v>
      </c>
      <c r="C24" s="119" t="s">
        <v>54</v>
      </c>
      <c r="D24" s="14">
        <v>0.85</v>
      </c>
      <c r="E24" s="34">
        <v>0</v>
      </c>
      <c r="F24" s="39">
        <f t="shared" si="0"/>
        <v>38.25</v>
      </c>
      <c r="G24" s="39">
        <f t="shared" si="1"/>
        <v>38.25</v>
      </c>
      <c r="H24" s="39">
        <f t="shared" si="2"/>
        <v>0</v>
      </c>
      <c r="I24" s="21"/>
      <c r="J24" s="8"/>
      <c r="K24" s="4"/>
      <c r="L24" s="4"/>
      <c r="M24" s="4"/>
    </row>
    <row r="25" spans="1:13" x14ac:dyDescent="0.25">
      <c r="A25" s="7" t="s">
        <v>20</v>
      </c>
      <c r="B25" s="24">
        <v>1</v>
      </c>
      <c r="C25" s="119" t="s">
        <v>14</v>
      </c>
      <c r="D25" s="14">
        <v>0</v>
      </c>
      <c r="E25" s="34">
        <v>0</v>
      </c>
      <c r="F25" s="39">
        <f t="shared" si="0"/>
        <v>0</v>
      </c>
      <c r="G25" s="39">
        <f t="shared" si="1"/>
        <v>0</v>
      </c>
      <c r="H25" s="39">
        <f t="shared" si="2"/>
        <v>0</v>
      </c>
      <c r="I25" s="21"/>
      <c r="J25" s="8"/>
      <c r="K25" s="4"/>
      <c r="L25" s="4"/>
      <c r="M25" s="4"/>
    </row>
    <row r="26" spans="1:13" x14ac:dyDescent="0.25">
      <c r="A26" s="2" t="s">
        <v>21</v>
      </c>
      <c r="B26" s="24">
        <v>1</v>
      </c>
      <c r="C26" s="119" t="s">
        <v>14</v>
      </c>
      <c r="D26" s="14">
        <v>0</v>
      </c>
      <c r="E26" s="34">
        <v>0</v>
      </c>
      <c r="F26" s="39">
        <f>D26*B26</f>
        <v>0</v>
      </c>
      <c r="G26" s="39">
        <f>F26*(1-E26)</f>
        <v>0</v>
      </c>
      <c r="H26" s="39">
        <f>F26*E26</f>
        <v>0</v>
      </c>
      <c r="I26" s="21"/>
      <c r="J26" s="8"/>
      <c r="K26" s="4"/>
      <c r="L26" s="4"/>
      <c r="M26" s="4"/>
    </row>
    <row r="27" spans="1:13" x14ac:dyDescent="0.25">
      <c r="A27" s="291" t="s">
        <v>278</v>
      </c>
      <c r="B27" s="24">
        <v>1</v>
      </c>
      <c r="C27" s="265" t="s">
        <v>14</v>
      </c>
      <c r="D27" s="14">
        <v>21</v>
      </c>
      <c r="E27" s="34">
        <v>0.33</v>
      </c>
      <c r="F27" s="39">
        <f t="shared" si="0"/>
        <v>21</v>
      </c>
      <c r="G27" s="39">
        <f t="shared" si="1"/>
        <v>14.069999999999999</v>
      </c>
      <c r="H27" s="39">
        <f t="shared" si="2"/>
        <v>6.9300000000000006</v>
      </c>
      <c r="I27" s="21"/>
      <c r="J27" s="8"/>
      <c r="K27" s="4"/>
      <c r="L27" s="4"/>
      <c r="M27" s="4"/>
    </row>
    <row r="28" spans="1:13" x14ac:dyDescent="0.25">
      <c r="A28" s="16" t="s">
        <v>40</v>
      </c>
      <c r="B28" s="24">
        <v>1</v>
      </c>
      <c r="C28" s="265" t="s">
        <v>14</v>
      </c>
      <c r="D28" s="14">
        <v>0</v>
      </c>
      <c r="E28" s="34">
        <v>0</v>
      </c>
      <c r="F28" s="39">
        <f t="shared" si="0"/>
        <v>0</v>
      </c>
      <c r="G28" s="39">
        <f t="shared" si="1"/>
        <v>0</v>
      </c>
      <c r="H28" s="39">
        <f t="shared" si="2"/>
        <v>0</v>
      </c>
      <c r="I28" s="21"/>
      <c r="J28" s="8"/>
      <c r="K28" s="4"/>
      <c r="L28" s="4"/>
      <c r="M28" s="4"/>
    </row>
    <row r="29" spans="1:13" x14ac:dyDescent="0.25">
      <c r="A29" s="16" t="s">
        <v>40</v>
      </c>
      <c r="B29" s="24">
        <v>1</v>
      </c>
      <c r="C29" s="265" t="s">
        <v>14</v>
      </c>
      <c r="D29" s="14">
        <v>0</v>
      </c>
      <c r="E29" s="34">
        <v>0</v>
      </c>
      <c r="F29" s="39">
        <f t="shared" si="0"/>
        <v>0</v>
      </c>
      <c r="G29" s="39">
        <f t="shared" si="1"/>
        <v>0</v>
      </c>
      <c r="H29" s="39">
        <f t="shared" si="2"/>
        <v>0</v>
      </c>
      <c r="I29" s="21"/>
      <c r="J29" s="8"/>
      <c r="K29" s="4"/>
      <c r="L29" s="4"/>
      <c r="M29" s="4"/>
    </row>
    <row r="30" spans="1:13" x14ac:dyDescent="0.25">
      <c r="A30" s="4" t="s">
        <v>22</v>
      </c>
      <c r="B30" s="24">
        <v>1</v>
      </c>
      <c r="C30" s="119" t="s">
        <v>14</v>
      </c>
      <c r="D30" s="14">
        <v>33</v>
      </c>
      <c r="E30" s="34">
        <v>0.33</v>
      </c>
      <c r="F30" s="39">
        <f t="shared" si="0"/>
        <v>33</v>
      </c>
      <c r="G30" s="39">
        <f t="shared" si="1"/>
        <v>22.11</v>
      </c>
      <c r="H30" s="39">
        <f t="shared" si="2"/>
        <v>10.89</v>
      </c>
      <c r="I30" s="21"/>
      <c r="J30" s="8"/>
      <c r="K30" s="4"/>
      <c r="L30" s="4"/>
      <c r="M30" s="4"/>
    </row>
    <row r="31" spans="1:13" x14ac:dyDescent="0.25">
      <c r="A31" s="4" t="s">
        <v>140</v>
      </c>
      <c r="B31" s="28">
        <v>0.69499999999999995</v>
      </c>
      <c r="C31" s="119" t="s">
        <v>23</v>
      </c>
      <c r="D31" s="55">
        <f>'Universal Input Prices'!$B$31</f>
        <v>12.45</v>
      </c>
      <c r="E31" s="34">
        <v>0</v>
      </c>
      <c r="F31" s="39">
        <f t="shared" si="0"/>
        <v>8.6527499999999993</v>
      </c>
      <c r="G31" s="39">
        <f t="shared" si="1"/>
        <v>8.6527499999999993</v>
      </c>
      <c r="H31" s="39">
        <f t="shared" si="2"/>
        <v>0</v>
      </c>
      <c r="I31" s="21"/>
      <c r="J31" s="8"/>
      <c r="K31" s="4"/>
      <c r="L31" s="4"/>
      <c r="M31" s="4"/>
    </row>
    <row r="32" spans="1:13" x14ac:dyDescent="0.25">
      <c r="A32" s="4" t="s">
        <v>24</v>
      </c>
      <c r="B32" s="28">
        <v>1.024</v>
      </c>
      <c r="C32" s="119" t="s">
        <v>23</v>
      </c>
      <c r="D32" s="55">
        <f>'Universal Input Prices'!$B$31</f>
        <v>12.45</v>
      </c>
      <c r="E32" s="34">
        <v>0</v>
      </c>
      <c r="F32" s="39">
        <f t="shared" si="0"/>
        <v>12.748799999999999</v>
      </c>
      <c r="G32" s="39">
        <f t="shared" si="1"/>
        <v>12.748799999999999</v>
      </c>
      <c r="H32" s="39">
        <f t="shared" si="2"/>
        <v>0</v>
      </c>
      <c r="I32" s="21"/>
      <c r="J32" s="8"/>
      <c r="K32" s="4"/>
      <c r="L32" s="4"/>
      <c r="M32" s="4"/>
    </row>
    <row r="33" spans="1:13" x14ac:dyDescent="0.25">
      <c r="A33" s="4" t="s">
        <v>25</v>
      </c>
      <c r="B33" s="28">
        <v>1.91</v>
      </c>
      <c r="C33" s="119" t="s">
        <v>26</v>
      </c>
      <c r="D33" s="55">
        <f>'Universal Input Prices'!$B$32</f>
        <v>1.81</v>
      </c>
      <c r="E33" s="34">
        <v>0</v>
      </c>
      <c r="F33" s="39">
        <f t="shared" si="0"/>
        <v>3.4571000000000001</v>
      </c>
      <c r="G33" s="39">
        <f t="shared" si="1"/>
        <v>3.4571000000000001</v>
      </c>
      <c r="H33" s="39">
        <f t="shared" si="2"/>
        <v>0</v>
      </c>
      <c r="I33" s="21"/>
      <c r="J33" s="8"/>
      <c r="K33" s="4"/>
      <c r="L33" s="4"/>
      <c r="M33" s="4"/>
    </row>
    <row r="34" spans="1:13" x14ac:dyDescent="0.25">
      <c r="A34" s="4" t="s">
        <v>27</v>
      </c>
      <c r="B34" s="28">
        <v>2.0485000000000002</v>
      </c>
      <c r="C34" s="119" t="s">
        <v>26</v>
      </c>
      <c r="D34" s="55">
        <f>'Universal Input Prices'!$B$33</f>
        <v>1.9259999999999999</v>
      </c>
      <c r="E34" s="34">
        <v>0</v>
      </c>
      <c r="F34" s="39">
        <f t="shared" si="0"/>
        <v>3.9454110000000004</v>
      </c>
      <c r="G34" s="39">
        <f t="shared" si="1"/>
        <v>3.9454110000000004</v>
      </c>
      <c r="H34" s="39">
        <f t="shared" si="2"/>
        <v>0</v>
      </c>
      <c r="I34" s="21"/>
      <c r="J34" s="8"/>
      <c r="K34" s="4"/>
      <c r="L34" s="4"/>
      <c r="M34" s="4"/>
    </row>
    <row r="35" spans="1:13" x14ac:dyDescent="0.25">
      <c r="A35" s="4" t="s">
        <v>28</v>
      </c>
      <c r="B35" s="28">
        <v>16</v>
      </c>
      <c r="C35" s="119" t="s">
        <v>29</v>
      </c>
      <c r="D35" s="55">
        <f>'Universal Input Prices'!$B$34</f>
        <v>3.6</v>
      </c>
      <c r="E35" s="34">
        <v>0.33</v>
      </c>
      <c r="F35" s="39">
        <f t="shared" si="0"/>
        <v>57.6</v>
      </c>
      <c r="G35" s="39">
        <f t="shared" si="1"/>
        <v>38.591999999999999</v>
      </c>
      <c r="H35" s="39">
        <f t="shared" si="2"/>
        <v>19.008000000000003</v>
      </c>
      <c r="I35" s="21"/>
      <c r="J35" s="8"/>
      <c r="K35" s="4"/>
      <c r="L35" s="4"/>
      <c r="M35" s="4"/>
    </row>
    <row r="36" spans="1:13" hidden="1" x14ac:dyDescent="0.25">
      <c r="A36" s="4" t="s">
        <v>248</v>
      </c>
      <c r="B36" s="28">
        <v>98.06</v>
      </c>
      <c r="C36" s="119"/>
      <c r="D36" s="55"/>
      <c r="E36" s="34"/>
      <c r="F36" s="39"/>
      <c r="G36" s="39"/>
      <c r="H36" s="39"/>
      <c r="I36" s="4"/>
    </row>
    <row r="37" spans="1:13" hidden="1" x14ac:dyDescent="0.25">
      <c r="A37" s="4" t="s">
        <v>249</v>
      </c>
      <c r="B37" s="48">
        <f>B35*18.85694/B36</f>
        <v>3.0768003263308179</v>
      </c>
      <c r="C37" s="119"/>
      <c r="D37" s="55"/>
      <c r="E37" s="34"/>
      <c r="F37" s="39"/>
      <c r="G37" s="39"/>
      <c r="H37" s="39"/>
      <c r="I37" s="4"/>
    </row>
    <row r="38" spans="1:13" x14ac:dyDescent="0.25">
      <c r="A38" s="4" t="s">
        <v>30</v>
      </c>
      <c r="B38" s="5"/>
      <c r="C38" s="119"/>
      <c r="D38" s="15"/>
      <c r="E38" s="36"/>
      <c r="F38" s="39"/>
      <c r="G38" s="39"/>
      <c r="H38" s="39"/>
      <c r="I38" s="6"/>
      <c r="J38" s="6"/>
      <c r="K38" s="4"/>
      <c r="L38" s="4"/>
      <c r="M38" s="4"/>
    </row>
    <row r="39" spans="1:13" x14ac:dyDescent="0.25">
      <c r="A39" s="7" t="s">
        <v>31</v>
      </c>
      <c r="B39" s="5">
        <v>1</v>
      </c>
      <c r="C39" s="119" t="s">
        <v>14</v>
      </c>
      <c r="D39" s="14">
        <v>12.35</v>
      </c>
      <c r="E39" s="34">
        <v>0</v>
      </c>
      <c r="F39" s="39">
        <f>D39*B39</f>
        <v>12.35</v>
      </c>
      <c r="G39" s="39">
        <f>F39*(1-E39)</f>
        <v>12.35</v>
      </c>
      <c r="H39" s="39">
        <f>F39*E39</f>
        <v>0</v>
      </c>
      <c r="I39" s="21"/>
      <c r="J39" s="8"/>
      <c r="K39" s="4"/>
      <c r="L39" s="4"/>
      <c r="M39" s="4"/>
    </row>
    <row r="40" spans="1:13" x14ac:dyDescent="0.25">
      <c r="A40" s="7" t="s">
        <v>2</v>
      </c>
      <c r="B40" s="5">
        <v>1</v>
      </c>
      <c r="C40" s="119" t="s">
        <v>14</v>
      </c>
      <c r="D40" s="14">
        <v>3.67</v>
      </c>
      <c r="E40" s="34">
        <v>0</v>
      </c>
      <c r="F40" s="39">
        <f>D40*B40</f>
        <v>3.67</v>
      </c>
      <c r="G40" s="39">
        <f>F40*(1-E40)</f>
        <v>3.67</v>
      </c>
      <c r="H40" s="39">
        <f>F40*E40</f>
        <v>0</v>
      </c>
      <c r="I40" s="21"/>
      <c r="J40" s="8"/>
      <c r="K40" s="4"/>
      <c r="L40" s="4"/>
      <c r="M40" s="4"/>
    </row>
    <row r="41" spans="1:13" x14ac:dyDescent="0.25">
      <c r="A41" s="7" t="s">
        <v>32</v>
      </c>
      <c r="B41" s="5">
        <f>Sorghum_Seed_Inches</f>
        <v>16</v>
      </c>
      <c r="C41" s="119" t="s">
        <v>29</v>
      </c>
      <c r="D41" s="14">
        <v>4.04</v>
      </c>
      <c r="E41" s="34">
        <v>0</v>
      </c>
      <c r="F41" s="39">
        <f>D41*B41</f>
        <v>64.64</v>
      </c>
      <c r="G41" s="39">
        <f>F41*(1-E41)</f>
        <v>64.64</v>
      </c>
      <c r="H41" s="39">
        <f>F41*E41</f>
        <v>0</v>
      </c>
      <c r="I41" s="21"/>
      <c r="J41" s="8"/>
      <c r="K41" s="4"/>
      <c r="L41" s="4"/>
      <c r="M41" s="4"/>
    </row>
    <row r="42" spans="1:13" x14ac:dyDescent="0.25">
      <c r="A42" s="7" t="s">
        <v>204</v>
      </c>
      <c r="B42" s="5">
        <v>1</v>
      </c>
      <c r="C42" s="119" t="s">
        <v>14</v>
      </c>
      <c r="D42" s="14">
        <v>0</v>
      </c>
      <c r="E42" s="34">
        <v>1</v>
      </c>
      <c r="F42" s="39">
        <f>D42*B42</f>
        <v>0</v>
      </c>
      <c r="G42" s="39">
        <f>F42*(1-E42)</f>
        <v>0</v>
      </c>
      <c r="H42" s="39">
        <f>F42*E42</f>
        <v>0</v>
      </c>
      <c r="I42" s="21"/>
      <c r="J42" s="8"/>
      <c r="K42" s="4"/>
      <c r="L42" s="4"/>
      <c r="M42" s="4"/>
    </row>
    <row r="43" spans="1:13" x14ac:dyDescent="0.25">
      <c r="A43" s="7" t="s">
        <v>33</v>
      </c>
      <c r="B43" s="5">
        <v>1</v>
      </c>
      <c r="C43" s="119" t="s">
        <v>14</v>
      </c>
      <c r="D43" s="14">
        <v>2.5099999999999998</v>
      </c>
      <c r="E43" s="34">
        <v>0</v>
      </c>
      <c r="F43" s="39">
        <f>D43*B43</f>
        <v>2.5099999999999998</v>
      </c>
      <c r="G43" s="39">
        <f>F43*(1-E43)</f>
        <v>2.5099999999999998</v>
      </c>
      <c r="H43" s="39">
        <f>F43*E43</f>
        <v>0</v>
      </c>
      <c r="I43" s="21"/>
      <c r="J43" s="8"/>
      <c r="K43" s="4"/>
      <c r="L43" s="4"/>
      <c r="M43" s="4"/>
    </row>
    <row r="44" spans="1:13" x14ac:dyDescent="0.25">
      <c r="A44" s="4" t="s">
        <v>34</v>
      </c>
      <c r="B44" s="89">
        <f>'Universal Input Prices'!$B$35</f>
        <v>5.3999999999999999E-2</v>
      </c>
      <c r="C44" s="119"/>
      <c r="D44" s="22"/>
      <c r="E44" s="36"/>
      <c r="F44" s="158">
        <f>(SUM(F15:F23,F25:F43))*$B44/2.6</f>
        <v>6.8968267476923071</v>
      </c>
      <c r="G44" s="158">
        <f>(SUM(G15:G23,G25:G43))*$B44/2</f>
        <v>7.0048249807499987</v>
      </c>
      <c r="H44" s="158">
        <f>(SUM(H15:H23,H25:H43))*$B44/2</f>
        <v>1.9610497912500002</v>
      </c>
      <c r="I44" s="21"/>
      <c r="J44" s="8"/>
      <c r="K44" s="4"/>
      <c r="L44" s="4"/>
      <c r="M44" s="4"/>
    </row>
    <row r="45" spans="1:13" x14ac:dyDescent="0.25">
      <c r="A45" s="4"/>
      <c r="B45" s="10"/>
      <c r="C45" s="119"/>
      <c r="D45" s="8"/>
      <c r="E45" s="36"/>
      <c r="F45" s="39"/>
      <c r="G45" s="39"/>
      <c r="H45" s="39"/>
      <c r="I45" s="6"/>
      <c r="J45" s="6"/>
      <c r="K45" s="4"/>
      <c r="L45" s="4"/>
      <c r="M45" s="4"/>
    </row>
    <row r="46" spans="1:13" x14ac:dyDescent="0.25">
      <c r="A46" s="4" t="s">
        <v>205</v>
      </c>
      <c r="B46" s="10"/>
      <c r="C46" s="119"/>
      <c r="D46" s="8"/>
      <c r="E46" s="36"/>
      <c r="F46" s="39">
        <f>SUM(F15:F44)</f>
        <v>377.21626274769233</v>
      </c>
      <c r="G46" s="39">
        <f>SUM(G15:G44)</f>
        <v>304.69278723074996</v>
      </c>
      <c r="H46" s="39">
        <f>SUM(H15:H44)</f>
        <v>74.592523541250017</v>
      </c>
      <c r="I46" s="11"/>
      <c r="J46" s="8"/>
      <c r="K46" s="4"/>
      <c r="L46" s="4"/>
      <c r="M46" s="4"/>
    </row>
    <row r="47" spans="1:13" ht="13.8" x14ac:dyDescent="0.25">
      <c r="A47" s="12" t="s">
        <v>206</v>
      </c>
      <c r="B47" s="10"/>
      <c r="C47" s="119"/>
      <c r="D47" s="8"/>
      <c r="E47" s="36"/>
      <c r="F47" s="72">
        <f>F12-F46</f>
        <v>383.28373725230756</v>
      </c>
      <c r="G47" s="72">
        <f>G12-G46</f>
        <v>204.8422127692499</v>
      </c>
      <c r="H47" s="72">
        <f>H12-H46</f>
        <v>176.37247645874996</v>
      </c>
      <c r="I47" s="11"/>
      <c r="J47" s="8"/>
      <c r="K47" s="4"/>
      <c r="L47" s="4"/>
      <c r="M47" s="4"/>
    </row>
    <row r="48" spans="1:13" x14ac:dyDescent="0.25">
      <c r="A48" s="4"/>
      <c r="B48" s="10"/>
      <c r="C48" s="119"/>
      <c r="D48" s="8"/>
      <c r="E48" s="36"/>
      <c r="F48" s="39"/>
      <c r="G48" s="39"/>
      <c r="H48" s="39"/>
      <c r="I48" s="11"/>
      <c r="J48" s="8"/>
      <c r="K48" s="4"/>
      <c r="L48" s="4"/>
      <c r="M48" s="4"/>
    </row>
    <row r="49" spans="1:13" x14ac:dyDescent="0.25">
      <c r="A49" s="4" t="s">
        <v>208</v>
      </c>
      <c r="B49" s="10"/>
      <c r="C49" s="119"/>
      <c r="D49" s="8"/>
      <c r="E49" s="37"/>
      <c r="F49" s="39"/>
      <c r="G49" s="39"/>
      <c r="H49" s="39"/>
      <c r="I49" s="11"/>
      <c r="J49" s="6"/>
      <c r="K49" s="4"/>
      <c r="L49" s="4"/>
      <c r="M49" s="4"/>
    </row>
    <row r="50" spans="1:13" x14ac:dyDescent="0.25">
      <c r="A50" s="7" t="s">
        <v>31</v>
      </c>
      <c r="B50" s="5">
        <v>1</v>
      </c>
      <c r="C50" s="119" t="s">
        <v>14</v>
      </c>
      <c r="D50" s="14">
        <v>19.23</v>
      </c>
      <c r="E50" s="34">
        <v>0</v>
      </c>
      <c r="F50" s="39">
        <f t="shared" ref="F50:F55" si="3">D50*B50</f>
        <v>19.23</v>
      </c>
      <c r="G50" s="39">
        <f t="shared" ref="G50:G58" si="4">F50*(1-E50)</f>
        <v>19.23</v>
      </c>
      <c r="H50" s="39">
        <f t="shared" ref="H50:H58" si="5">F50*E50</f>
        <v>0</v>
      </c>
      <c r="I50" s="21"/>
      <c r="J50" s="8"/>
      <c r="K50" s="4"/>
      <c r="L50" s="4"/>
      <c r="M50" s="4"/>
    </row>
    <row r="51" spans="1:13" x14ac:dyDescent="0.25">
      <c r="A51" s="7" t="s">
        <v>2</v>
      </c>
      <c r="B51" s="5">
        <v>1</v>
      </c>
      <c r="C51" s="119" t="s">
        <v>14</v>
      </c>
      <c r="D51" s="14">
        <v>5.14</v>
      </c>
      <c r="E51" s="34">
        <v>0</v>
      </c>
      <c r="F51" s="39">
        <f t="shared" si="3"/>
        <v>5.14</v>
      </c>
      <c r="G51" s="39">
        <f t="shared" si="4"/>
        <v>5.14</v>
      </c>
      <c r="H51" s="39">
        <f t="shared" si="5"/>
        <v>0</v>
      </c>
      <c r="I51" s="21"/>
      <c r="J51" s="8"/>
      <c r="K51" s="4"/>
      <c r="L51" s="4"/>
      <c r="M51" s="4"/>
    </row>
    <row r="52" spans="1:13" x14ac:dyDescent="0.25">
      <c r="A52" s="2" t="s">
        <v>273</v>
      </c>
      <c r="B52" s="5">
        <v>1</v>
      </c>
      <c r="C52" s="119" t="s">
        <v>14</v>
      </c>
      <c r="D52" s="14">
        <v>40.42</v>
      </c>
      <c r="E52" s="34">
        <v>0</v>
      </c>
      <c r="F52" s="39">
        <f t="shared" si="3"/>
        <v>40.42</v>
      </c>
      <c r="G52" s="39">
        <f t="shared" si="4"/>
        <v>40.42</v>
      </c>
      <c r="H52" s="39">
        <f t="shared" si="5"/>
        <v>0</v>
      </c>
      <c r="I52" s="21"/>
      <c r="J52" s="8"/>
      <c r="K52" s="4"/>
      <c r="L52" s="4"/>
      <c r="M52" s="4"/>
    </row>
    <row r="53" spans="1:13" x14ac:dyDescent="0.25">
      <c r="A53" s="7" t="s">
        <v>204</v>
      </c>
      <c r="B53" s="5">
        <v>1</v>
      </c>
      <c r="C53" s="119" t="s">
        <v>14</v>
      </c>
      <c r="D53" s="14">
        <v>0</v>
      </c>
      <c r="E53" s="34">
        <v>1</v>
      </c>
      <c r="F53" s="39">
        <f t="shared" si="3"/>
        <v>0</v>
      </c>
      <c r="G53" s="39">
        <f t="shared" si="4"/>
        <v>0</v>
      </c>
      <c r="H53" s="39">
        <f t="shared" si="5"/>
        <v>0</v>
      </c>
      <c r="I53" s="21"/>
      <c r="J53" s="8"/>
      <c r="K53" s="4"/>
      <c r="L53" s="4"/>
      <c r="M53" s="4"/>
    </row>
    <row r="54" spans="1:13" x14ac:dyDescent="0.25">
      <c r="A54" s="7" t="s">
        <v>33</v>
      </c>
      <c r="B54" s="5">
        <v>1</v>
      </c>
      <c r="C54" s="119" t="s">
        <v>14</v>
      </c>
      <c r="D54" s="14">
        <v>3.66</v>
      </c>
      <c r="E54" s="34">
        <v>0</v>
      </c>
      <c r="F54" s="39">
        <f t="shared" si="3"/>
        <v>3.66</v>
      </c>
      <c r="G54" s="39">
        <f t="shared" si="4"/>
        <v>3.66</v>
      </c>
      <c r="H54" s="39">
        <f t="shared" si="5"/>
        <v>0</v>
      </c>
      <c r="I54" s="21"/>
      <c r="J54" s="8"/>
      <c r="K54" s="4"/>
      <c r="L54" s="4"/>
      <c r="M54" s="4"/>
    </row>
    <row r="55" spans="1:13" x14ac:dyDescent="0.25">
      <c r="A55" s="7" t="s">
        <v>35</v>
      </c>
      <c r="B55" s="5">
        <v>1</v>
      </c>
      <c r="C55" s="119" t="s">
        <v>14</v>
      </c>
      <c r="D55" s="14">
        <v>0</v>
      </c>
      <c r="E55" s="34">
        <v>0</v>
      </c>
      <c r="F55" s="39">
        <f t="shared" si="3"/>
        <v>0</v>
      </c>
      <c r="G55" s="39">
        <f t="shared" si="4"/>
        <v>0</v>
      </c>
      <c r="H55" s="39">
        <f t="shared" si="5"/>
        <v>0</v>
      </c>
      <c r="I55" s="21"/>
      <c r="J55" s="8"/>
      <c r="K55" s="4"/>
      <c r="L55" s="4"/>
      <c r="M55" s="4"/>
    </row>
    <row r="56" spans="1:13" x14ac:dyDescent="0.25">
      <c r="A56" s="2" t="s">
        <v>272</v>
      </c>
      <c r="B56" s="5">
        <v>1</v>
      </c>
      <c r="C56" s="119" t="s">
        <v>14</v>
      </c>
      <c r="D56" s="14">
        <v>29.44</v>
      </c>
      <c r="E56" s="34">
        <v>0</v>
      </c>
      <c r="F56" s="39">
        <f>B56*D56</f>
        <v>29.44</v>
      </c>
      <c r="G56" s="39">
        <f t="shared" si="4"/>
        <v>29.44</v>
      </c>
      <c r="H56" s="39">
        <f t="shared" si="5"/>
        <v>0</v>
      </c>
      <c r="I56" s="65"/>
      <c r="J56" s="8"/>
      <c r="K56" s="4"/>
      <c r="L56" s="4"/>
      <c r="M56" s="4"/>
    </row>
    <row r="57" spans="1:13" x14ac:dyDescent="0.25">
      <c r="A57" s="7" t="s">
        <v>36</v>
      </c>
      <c r="B57" s="43">
        <v>1</v>
      </c>
      <c r="C57" s="119" t="s">
        <v>14</v>
      </c>
      <c r="D57" s="14">
        <v>72</v>
      </c>
      <c r="E57" s="34">
        <v>1</v>
      </c>
      <c r="F57" s="39">
        <f>D57*B57</f>
        <v>72</v>
      </c>
      <c r="G57" s="39">
        <f>IF($H$6="Cash",D57,F57*(1-E57))</f>
        <v>0</v>
      </c>
      <c r="H57" s="39">
        <f>IF($H$6="Cash",0,F57*E57)</f>
        <v>72</v>
      </c>
      <c r="I57" s="21"/>
      <c r="J57" s="8"/>
      <c r="K57" s="4"/>
      <c r="L57" s="4"/>
      <c r="M57" s="4"/>
    </row>
    <row r="58" spans="1:13" x14ac:dyDescent="0.25">
      <c r="A58" s="7" t="s">
        <v>42</v>
      </c>
      <c r="B58" s="43">
        <v>1</v>
      </c>
      <c r="C58" s="119" t="s">
        <v>14</v>
      </c>
      <c r="D58" s="14">
        <v>0</v>
      </c>
      <c r="E58" s="34">
        <v>1</v>
      </c>
      <c r="F58" s="39">
        <f>B58*D58</f>
        <v>0</v>
      </c>
      <c r="G58" s="39">
        <f t="shared" si="4"/>
        <v>0</v>
      </c>
      <c r="H58" s="39">
        <f t="shared" si="5"/>
        <v>0</v>
      </c>
      <c r="I58" s="65"/>
      <c r="J58" s="8"/>
      <c r="K58" s="4"/>
      <c r="L58" s="4"/>
      <c r="M58" s="4"/>
    </row>
    <row r="59" spans="1:13" x14ac:dyDescent="0.25">
      <c r="A59" s="4" t="s">
        <v>37</v>
      </c>
      <c r="B59" s="5"/>
      <c r="C59" s="119"/>
      <c r="D59" s="10"/>
      <c r="E59" s="36"/>
      <c r="F59" s="39">
        <f>SUM(F50:F58)</f>
        <v>169.89</v>
      </c>
      <c r="G59" s="39">
        <f>SUM(G50:G58)</f>
        <v>97.89</v>
      </c>
      <c r="H59" s="39">
        <f>SUM(H50:H58)</f>
        <v>72</v>
      </c>
      <c r="I59" s="6"/>
      <c r="J59" s="8"/>
      <c r="K59" s="4"/>
      <c r="L59" s="4"/>
      <c r="M59" s="4"/>
    </row>
    <row r="60" spans="1:13" x14ac:dyDescent="0.25">
      <c r="A60" s="4" t="s">
        <v>38</v>
      </c>
      <c r="B60" s="5"/>
      <c r="C60" s="119"/>
      <c r="D60" s="10"/>
      <c r="E60" s="36"/>
      <c r="F60" s="39">
        <f>F46+F59</f>
        <v>547.10626274769231</v>
      </c>
      <c r="G60" s="39">
        <f>G46+G59</f>
        <v>402.58278723074994</v>
      </c>
      <c r="H60" s="39">
        <f>H46+H59</f>
        <v>146.59252354125002</v>
      </c>
      <c r="I60" s="6"/>
      <c r="J60" s="8"/>
      <c r="K60" s="4"/>
      <c r="L60" s="4"/>
      <c r="M60" s="4"/>
    </row>
    <row r="61" spans="1:13" ht="13.8" x14ac:dyDescent="0.25">
      <c r="A61" s="12" t="s">
        <v>39</v>
      </c>
      <c r="B61" s="5"/>
      <c r="C61" s="119"/>
      <c r="D61" s="10"/>
      <c r="E61" s="36"/>
      <c r="F61" s="72">
        <f>F12-F60</f>
        <v>213.39373725230757</v>
      </c>
      <c r="G61" s="72">
        <f>G12-G60</f>
        <v>106.95221276924991</v>
      </c>
      <c r="H61" s="72">
        <f>H12-H60</f>
        <v>104.37247645874996</v>
      </c>
      <c r="I61" s="6"/>
      <c r="J61" s="8"/>
      <c r="K61" s="4"/>
      <c r="L61" s="4"/>
      <c r="M61" s="4"/>
    </row>
    <row r="62" spans="1:13" x14ac:dyDescent="0.25">
      <c r="A62" s="4"/>
      <c r="B62" s="5"/>
      <c r="C62" s="119"/>
      <c r="D62" s="10"/>
      <c r="E62" s="36"/>
      <c r="F62" s="8"/>
      <c r="G62" s="8"/>
      <c r="H62" s="8"/>
      <c r="I62" s="6"/>
      <c r="J62" s="8"/>
      <c r="K62" s="4"/>
      <c r="L62" s="4"/>
      <c r="M62" s="4"/>
    </row>
    <row r="63" spans="1:13" ht="13.8" x14ac:dyDescent="0.25">
      <c r="A63" s="113" t="s">
        <v>161</v>
      </c>
      <c r="B63" s="113"/>
      <c r="C63" s="266"/>
      <c r="D63" s="113"/>
      <c r="E63" s="114"/>
      <c r="F63" s="115">
        <f>(F61/F60)</f>
        <v>0.39004075036647468</v>
      </c>
      <c r="G63" s="115">
        <f t="shared" ref="G63:H63" si="6">(G61/G60)</f>
        <v>0.26566514059118901</v>
      </c>
      <c r="H63" s="115">
        <f t="shared" si="6"/>
        <v>0.71199044765322117</v>
      </c>
      <c r="I63" s="4"/>
      <c r="J63" s="4"/>
      <c r="K63" s="4"/>
      <c r="L63" s="4"/>
      <c r="M63" s="4"/>
    </row>
    <row r="64" spans="1:13" x14ac:dyDescent="0.25">
      <c r="B64" s="1"/>
      <c r="C64" s="41"/>
      <c r="D64" s="46"/>
      <c r="E64" s="36"/>
      <c r="F64" s="42"/>
      <c r="G64" s="42"/>
      <c r="H64" s="42"/>
      <c r="I64" s="64"/>
      <c r="J64" s="42"/>
      <c r="K64" s="4"/>
      <c r="L64" s="4"/>
      <c r="M64" s="4"/>
    </row>
    <row r="65" spans="3:13" x14ac:dyDescent="0.25">
      <c r="C65" s="4"/>
      <c r="D65" s="4"/>
      <c r="E65" s="10"/>
      <c r="F65" s="4"/>
      <c r="G65" s="4"/>
      <c r="H65" s="4"/>
      <c r="I65" s="4"/>
      <c r="J65" s="4"/>
      <c r="K65" s="4"/>
      <c r="L65" s="4"/>
      <c r="M65" s="4"/>
    </row>
    <row r="66" spans="3:13" x14ac:dyDescent="0.25">
      <c r="C66" s="4"/>
      <c r="D66" s="4"/>
      <c r="E66" s="10"/>
      <c r="F66" s="4"/>
      <c r="G66" s="4"/>
      <c r="H66" s="4"/>
      <c r="I66" s="4"/>
      <c r="J66" s="4"/>
      <c r="K66" s="4"/>
      <c r="L66" s="4"/>
      <c r="M66" s="4"/>
    </row>
    <row r="67" spans="3:13" x14ac:dyDescent="0.25">
      <c r="C67" s="4"/>
      <c r="D67" s="4"/>
      <c r="E67" s="10"/>
      <c r="F67" s="4"/>
      <c r="G67" s="4"/>
      <c r="H67" s="4"/>
      <c r="I67" s="4"/>
      <c r="J67" s="4"/>
      <c r="K67" s="4"/>
      <c r="L67" s="4"/>
      <c r="M67" s="4"/>
    </row>
    <row r="68" spans="3:13" x14ac:dyDescent="0.25">
      <c r="C68" s="4"/>
      <c r="D68" s="4"/>
      <c r="E68" s="4"/>
      <c r="F68" s="4"/>
      <c r="G68" s="4"/>
      <c r="H68" s="4"/>
      <c r="I68" s="4"/>
      <c r="J68" s="4"/>
      <c r="K68" s="4"/>
      <c r="L68" s="4"/>
      <c r="M68" s="4"/>
    </row>
    <row r="69" spans="3:13" x14ac:dyDescent="0.25">
      <c r="C69" s="4"/>
      <c r="D69" s="4"/>
      <c r="E69" s="46"/>
      <c r="F69" s="4"/>
      <c r="G69" s="4"/>
      <c r="H69" s="4"/>
      <c r="I69" s="4"/>
      <c r="J69" s="4"/>
      <c r="K69" s="4"/>
      <c r="L69" s="4"/>
      <c r="M69" s="4"/>
    </row>
    <row r="70" spans="3:13" x14ac:dyDescent="0.25">
      <c r="I70" s="4"/>
      <c r="J70" s="4"/>
      <c r="K70" s="4"/>
      <c r="L70" s="4"/>
      <c r="M70" s="4"/>
    </row>
  </sheetData>
  <sheetProtection sheet="1" objects="1" scenarios="1" formatColumns="0" formatRows="0" selectLockedCells="1"/>
  <mergeCells count="3">
    <mergeCell ref="A2:H2"/>
    <mergeCell ref="A3:H3"/>
    <mergeCell ref="A4:H4"/>
  </mergeCells>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82"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T71"/>
  <sheetViews>
    <sheetView showGridLines="0" showRowColHeaders="0" zoomScale="90" zoomScaleNormal="90" workbookViewId="0">
      <pane ySplit="7" topLeftCell="A38" activePane="bottomLeft" state="frozen"/>
      <selection activeCell="B9" sqref="B9"/>
      <selection pane="bottomLeft" activeCell="E27" sqref="E27"/>
    </sheetView>
  </sheetViews>
  <sheetFormatPr defaultRowHeight="13.2" x14ac:dyDescent="0.25"/>
  <cols>
    <col min="1" max="1" width="35.5546875" customWidth="1"/>
    <col min="2" max="8" width="10.5546875" customWidth="1"/>
    <col min="9" max="9" width="9.55468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126</v>
      </c>
      <c r="B3" s="319"/>
      <c r="C3" s="319"/>
      <c r="D3" s="319"/>
      <c r="E3" s="319"/>
      <c r="F3" s="319"/>
      <c r="G3" s="319"/>
      <c r="H3" s="319"/>
      <c r="I3" s="4"/>
      <c r="J3" s="4"/>
      <c r="K3" s="4"/>
      <c r="L3" s="4"/>
    </row>
    <row r="4" spans="1:20" ht="15" x14ac:dyDescent="0.25">
      <c r="A4" s="319" t="s">
        <v>269</v>
      </c>
      <c r="B4" s="319"/>
      <c r="C4" s="319"/>
      <c r="D4" s="319"/>
      <c r="E4" s="319"/>
      <c r="F4" s="319"/>
      <c r="G4" s="319"/>
      <c r="H4" s="319"/>
      <c r="I4" s="4"/>
      <c r="J4" s="4"/>
      <c r="K4" s="4"/>
      <c r="L4" s="4"/>
    </row>
    <row r="5" spans="1:20" ht="13.8" x14ac:dyDescent="0.25">
      <c r="A5" s="4"/>
      <c r="B5" s="40"/>
      <c r="C5" s="40"/>
      <c r="D5" s="40"/>
      <c r="E5" s="40"/>
      <c r="G5" s="245"/>
      <c r="H5" s="242" t="s">
        <v>102</v>
      </c>
      <c r="I5" s="69" t="s">
        <v>55</v>
      </c>
      <c r="J5" s="40"/>
      <c r="K5" s="4"/>
      <c r="L5" s="4"/>
      <c r="S5" s="1"/>
      <c r="T5" s="1"/>
    </row>
    <row r="6" spans="1:20" ht="13.8" x14ac:dyDescent="0.25">
      <c r="A6" s="4" t="s">
        <v>3</v>
      </c>
      <c r="B6" s="53" t="s">
        <v>4</v>
      </c>
      <c r="C6" s="53" t="s">
        <v>5</v>
      </c>
      <c r="D6" s="53" t="s">
        <v>6</v>
      </c>
      <c r="E6" s="53" t="s">
        <v>53</v>
      </c>
      <c r="F6" s="244" t="s">
        <v>151</v>
      </c>
      <c r="G6" s="244"/>
      <c r="H6" s="112" t="s">
        <v>55</v>
      </c>
      <c r="I6" s="70" t="s">
        <v>103</v>
      </c>
      <c r="J6" s="5"/>
      <c r="K6" s="41"/>
      <c r="L6" s="4"/>
    </row>
    <row r="7" spans="1:20" x14ac:dyDescent="0.25">
      <c r="A7" s="4"/>
      <c r="B7" s="5"/>
      <c r="C7" s="5"/>
      <c r="D7" s="5"/>
      <c r="E7" s="53" t="s">
        <v>55</v>
      </c>
      <c r="F7" s="53" t="s">
        <v>56</v>
      </c>
      <c r="G7" s="53" t="s">
        <v>52</v>
      </c>
      <c r="H7" s="53" t="s">
        <v>53</v>
      </c>
      <c r="J7" s="6"/>
      <c r="K7" s="4"/>
      <c r="L7" s="4"/>
    </row>
    <row r="8" spans="1:20" x14ac:dyDescent="0.25">
      <c r="A8" s="4" t="s">
        <v>7</v>
      </c>
      <c r="B8" s="5"/>
      <c r="C8" s="5"/>
      <c r="D8" s="5"/>
      <c r="E8" s="5"/>
      <c r="F8" s="5"/>
      <c r="G8" s="5"/>
      <c r="H8" s="5"/>
      <c r="J8" s="6"/>
      <c r="K8" s="4"/>
      <c r="L8" s="4"/>
    </row>
    <row r="9" spans="1:20" x14ac:dyDescent="0.25">
      <c r="A9" s="7" t="s">
        <v>87</v>
      </c>
      <c r="B9" s="47">
        <v>21</v>
      </c>
      <c r="C9" s="119" t="s">
        <v>51</v>
      </c>
      <c r="D9" s="55">
        <f>'Universal Input Prices'!$B$13</f>
        <v>31.6</v>
      </c>
      <c r="E9" s="34">
        <v>0.33</v>
      </c>
      <c r="F9" s="39">
        <f>D9*B9</f>
        <v>663.6</v>
      </c>
      <c r="G9" s="39">
        <f>F9*(1-E9)</f>
        <v>444.61199999999997</v>
      </c>
      <c r="H9" s="39">
        <f>IF(H6="Cash", D57,F9*E9)</f>
        <v>218.98800000000003</v>
      </c>
      <c r="J9" s="8"/>
      <c r="K9" s="64"/>
      <c r="L9" s="4"/>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6"/>
      <c r="D11" s="8"/>
      <c r="E11" s="36"/>
      <c r="F11" s="39"/>
      <c r="G11" s="39"/>
      <c r="H11" s="39"/>
      <c r="I11" s="20"/>
      <c r="J11" s="6"/>
      <c r="K11" s="4"/>
      <c r="L11" s="4"/>
    </row>
    <row r="12" spans="1:20" x14ac:dyDescent="0.25">
      <c r="A12" s="4" t="s">
        <v>12</v>
      </c>
      <c r="B12" s="5"/>
      <c r="C12" s="5"/>
      <c r="D12" s="8"/>
      <c r="E12" s="36"/>
      <c r="F12" s="39">
        <f>SUM(F7:F11)</f>
        <v>663.6</v>
      </c>
      <c r="G12" s="39">
        <f>SUM(G7:G11)</f>
        <v>444.61199999999997</v>
      </c>
      <c r="H12" s="39">
        <f>SUM(H7:H11)</f>
        <v>218.98800000000003</v>
      </c>
      <c r="I12" s="20"/>
      <c r="J12" s="8"/>
      <c r="K12" s="4"/>
      <c r="L12" s="4"/>
    </row>
    <row r="13" spans="1:20" x14ac:dyDescent="0.25">
      <c r="A13" s="4"/>
      <c r="B13" s="5"/>
      <c r="C13" s="5"/>
      <c r="D13" s="8"/>
      <c r="E13" s="36"/>
      <c r="F13" s="39"/>
      <c r="G13" s="39"/>
      <c r="H13" s="39"/>
      <c r="I13" s="6"/>
      <c r="J13" s="6"/>
      <c r="K13" s="4"/>
      <c r="L13" s="4"/>
    </row>
    <row r="14" spans="1:20" x14ac:dyDescent="0.25">
      <c r="A14" s="4" t="s">
        <v>207</v>
      </c>
      <c r="B14" s="5"/>
      <c r="C14" s="5"/>
      <c r="D14" s="8"/>
      <c r="E14" s="36"/>
      <c r="F14" s="39"/>
      <c r="G14" s="39"/>
      <c r="H14" s="39"/>
      <c r="I14" s="6"/>
      <c r="J14" s="6"/>
      <c r="K14" s="4"/>
      <c r="L14" s="4"/>
    </row>
    <row r="15" spans="1:20" x14ac:dyDescent="0.25">
      <c r="A15" s="4" t="s">
        <v>1</v>
      </c>
      <c r="B15" s="28">
        <v>5</v>
      </c>
      <c r="C15" s="119" t="s">
        <v>79</v>
      </c>
      <c r="D15" s="14">
        <v>1.85</v>
      </c>
      <c r="E15" s="34">
        <v>0</v>
      </c>
      <c r="F15" s="39">
        <f>D15*B15</f>
        <v>9.25</v>
      </c>
      <c r="G15" s="39">
        <f>F15*(1-E15)</f>
        <v>9.25</v>
      </c>
      <c r="H15" s="39">
        <f>F15*E15</f>
        <v>0</v>
      </c>
      <c r="I15" s="21"/>
      <c r="J15" s="8"/>
      <c r="K15" s="4"/>
      <c r="L15" s="4"/>
    </row>
    <row r="16" spans="1:20" x14ac:dyDescent="0.25">
      <c r="A16" s="4" t="s">
        <v>0</v>
      </c>
      <c r="B16" s="26"/>
      <c r="C16" s="119"/>
      <c r="D16" s="15"/>
      <c r="E16" s="36"/>
      <c r="F16" s="39"/>
      <c r="G16" s="39"/>
      <c r="H16" s="39"/>
      <c r="I16" s="6"/>
      <c r="J16" s="6"/>
      <c r="K16" s="4"/>
      <c r="L16" s="4"/>
    </row>
    <row r="17" spans="1:12" x14ac:dyDescent="0.25">
      <c r="A17" s="302" t="s">
        <v>133</v>
      </c>
      <c r="B17" s="24">
        <v>60</v>
      </c>
      <c r="C17" s="119" t="s">
        <v>79</v>
      </c>
      <c r="D17" s="54">
        <f>IF(A17="",0,VLOOKUP(A17,'Universal Input Prices'!$A$26:$B$30, 2))</f>
        <v>0.42980769230769234</v>
      </c>
      <c r="E17" s="34">
        <v>0.33</v>
      </c>
      <c r="F17" s="39">
        <f>D17*B17</f>
        <v>25.78846153846154</v>
      </c>
      <c r="G17" s="39">
        <f>F17*(1-E17)</f>
        <v>17.278269230769229</v>
      </c>
      <c r="H17" s="39">
        <f>F17*E17</f>
        <v>8.5101923076923089</v>
      </c>
      <c r="I17" s="21"/>
      <c r="J17" s="8"/>
      <c r="K17" s="4"/>
      <c r="L17" s="4"/>
    </row>
    <row r="18" spans="1:12" x14ac:dyDescent="0.25">
      <c r="A18" s="302" t="s">
        <v>255</v>
      </c>
      <c r="B18" s="24">
        <v>150</v>
      </c>
      <c r="C18" s="119" t="s">
        <v>79</v>
      </c>
      <c r="D18" s="54">
        <f>IF(A18="",0,VLOOKUP(A18,'Universal Input Prices'!$A$26:$B$30, 2))</f>
        <v>0.25000000000000006</v>
      </c>
      <c r="E18" s="34">
        <v>0.33</v>
      </c>
      <c r="F18" s="39">
        <f>D18*B18</f>
        <v>37.500000000000007</v>
      </c>
      <c r="G18" s="39">
        <f>F18*(1-E18)</f>
        <v>25.125000000000004</v>
      </c>
      <c r="H18" s="39">
        <f>F18*E18</f>
        <v>12.375000000000004</v>
      </c>
      <c r="I18" s="21"/>
      <c r="J18" s="8"/>
      <c r="K18" s="4"/>
      <c r="L18" s="4"/>
    </row>
    <row r="19" spans="1:12" x14ac:dyDescent="0.25">
      <c r="A19" s="302"/>
      <c r="B19" s="24">
        <v>0</v>
      </c>
      <c r="C19" s="119" t="s">
        <v>79</v>
      </c>
      <c r="D19" s="54">
        <f>IF(A19="",0,VLOOKUP(A19,'Universal Input Prices'!$A$26:$B$30, 2))</f>
        <v>0</v>
      </c>
      <c r="E19" s="34">
        <v>0</v>
      </c>
      <c r="F19" s="39">
        <f>D19*B19</f>
        <v>0</v>
      </c>
      <c r="G19" s="39">
        <f>F19*(1-E19)</f>
        <v>0</v>
      </c>
      <c r="H19" s="39">
        <f>F19*E19</f>
        <v>0</v>
      </c>
      <c r="I19" s="4"/>
    </row>
    <row r="20" spans="1:12" x14ac:dyDescent="0.25">
      <c r="A20" s="4" t="s">
        <v>15</v>
      </c>
      <c r="B20" s="27"/>
      <c r="C20" s="119"/>
      <c r="D20" s="8"/>
      <c r="E20" s="36"/>
      <c r="F20" s="39"/>
      <c r="G20" s="39"/>
      <c r="H20" s="39"/>
      <c r="I20" s="6"/>
      <c r="J20" s="6"/>
      <c r="K20" s="4"/>
      <c r="L20" s="4"/>
    </row>
    <row r="21" spans="1:12" x14ac:dyDescent="0.25">
      <c r="A21" s="2" t="s">
        <v>236</v>
      </c>
      <c r="B21" s="24">
        <v>1</v>
      </c>
      <c r="C21" s="119" t="s">
        <v>14</v>
      </c>
      <c r="D21" s="14">
        <v>12.1</v>
      </c>
      <c r="E21" s="34">
        <v>0.33</v>
      </c>
      <c r="F21" s="39">
        <f t="shared" ref="F21:F35" si="0">D21*B21</f>
        <v>12.1</v>
      </c>
      <c r="G21" s="39">
        <f t="shared" ref="G21:G43" si="1">F21*(1-E21)</f>
        <v>8.1069999999999993</v>
      </c>
      <c r="H21" s="39">
        <f t="shared" ref="H21:H43" si="2">F21*E21</f>
        <v>3.9929999999999999</v>
      </c>
      <c r="I21" s="21"/>
      <c r="J21" s="8"/>
      <c r="K21" s="4"/>
      <c r="L21" s="4"/>
    </row>
    <row r="22" spans="1:12" x14ac:dyDescent="0.25">
      <c r="A22" s="7" t="s">
        <v>43</v>
      </c>
      <c r="B22" s="24">
        <v>1</v>
      </c>
      <c r="C22" s="119" t="s">
        <v>14</v>
      </c>
      <c r="D22" s="14">
        <v>20</v>
      </c>
      <c r="E22" s="34">
        <v>0.33</v>
      </c>
      <c r="F22" s="39">
        <f t="shared" si="0"/>
        <v>20</v>
      </c>
      <c r="G22" s="39">
        <f t="shared" si="1"/>
        <v>13.399999999999999</v>
      </c>
      <c r="H22" s="39">
        <f t="shared" si="2"/>
        <v>6.6000000000000005</v>
      </c>
      <c r="I22" s="21"/>
      <c r="J22" s="8"/>
      <c r="K22" s="4"/>
      <c r="L22" s="4"/>
    </row>
    <row r="23" spans="1:12" x14ac:dyDescent="0.25">
      <c r="A23" s="2" t="s">
        <v>279</v>
      </c>
      <c r="B23" s="24">
        <v>0.33</v>
      </c>
      <c r="C23" s="119" t="s">
        <v>14</v>
      </c>
      <c r="D23" s="14">
        <v>9.7899999999999991</v>
      </c>
      <c r="E23" s="34">
        <v>0.33</v>
      </c>
      <c r="F23" s="39">
        <f t="shared" si="0"/>
        <v>3.2306999999999997</v>
      </c>
      <c r="G23" s="39">
        <f t="shared" si="1"/>
        <v>2.1645689999999997</v>
      </c>
      <c r="H23" s="39">
        <f t="shared" si="2"/>
        <v>1.0661309999999999</v>
      </c>
      <c r="I23" s="21"/>
      <c r="J23" s="8"/>
      <c r="K23" s="4"/>
      <c r="L23" s="4"/>
    </row>
    <row r="24" spans="1:12" x14ac:dyDescent="0.25">
      <c r="A24" s="7" t="s">
        <v>47</v>
      </c>
      <c r="B24" s="48">
        <f>$B$9</f>
        <v>21</v>
      </c>
      <c r="C24" s="119" t="s">
        <v>51</v>
      </c>
      <c r="D24" s="14">
        <v>9</v>
      </c>
      <c r="E24" s="34">
        <v>0</v>
      </c>
      <c r="F24" s="39">
        <f t="shared" si="0"/>
        <v>189</v>
      </c>
      <c r="G24" s="39">
        <f t="shared" si="1"/>
        <v>189</v>
      </c>
      <c r="H24" s="39">
        <f t="shared" si="2"/>
        <v>0</v>
      </c>
      <c r="I24" s="21"/>
      <c r="J24" s="8"/>
      <c r="K24" s="4"/>
      <c r="L24" s="4"/>
    </row>
    <row r="25" spans="1:12" x14ac:dyDescent="0.25">
      <c r="A25" s="7" t="s">
        <v>49</v>
      </c>
      <c r="B25" s="24">
        <v>1</v>
      </c>
      <c r="C25" s="119" t="s">
        <v>14</v>
      </c>
      <c r="D25" s="14">
        <v>0</v>
      </c>
      <c r="E25" s="34">
        <v>0</v>
      </c>
      <c r="F25" s="39">
        <f t="shared" si="0"/>
        <v>0</v>
      </c>
      <c r="G25" s="39">
        <f t="shared" si="1"/>
        <v>0</v>
      </c>
      <c r="H25" s="39">
        <f t="shared" si="2"/>
        <v>0</v>
      </c>
      <c r="I25" s="21"/>
      <c r="J25" s="8"/>
      <c r="K25" s="4"/>
      <c r="L25" s="4"/>
    </row>
    <row r="26" spans="1:12" x14ac:dyDescent="0.25">
      <c r="A26" s="2" t="s">
        <v>278</v>
      </c>
      <c r="B26" s="24">
        <v>1</v>
      </c>
      <c r="C26" s="119" t="s">
        <v>14</v>
      </c>
      <c r="D26" s="14">
        <v>21</v>
      </c>
      <c r="E26" s="34">
        <v>0.33</v>
      </c>
      <c r="F26" s="39">
        <f>D26*B26</f>
        <v>21</v>
      </c>
      <c r="G26" s="39">
        <f>F26*(1-E26)</f>
        <v>14.069999999999999</v>
      </c>
      <c r="H26" s="39">
        <f>F26*E26</f>
        <v>6.9300000000000006</v>
      </c>
      <c r="I26" s="21"/>
      <c r="J26" s="8"/>
      <c r="K26" s="4"/>
      <c r="L26" s="4"/>
    </row>
    <row r="27" spans="1:12" x14ac:dyDescent="0.25">
      <c r="A27" s="16" t="s">
        <v>40</v>
      </c>
      <c r="B27" s="24">
        <v>1</v>
      </c>
      <c r="C27" s="265" t="s">
        <v>14</v>
      </c>
      <c r="D27" s="14">
        <v>0</v>
      </c>
      <c r="E27" s="34">
        <v>0</v>
      </c>
      <c r="F27" s="39">
        <f t="shared" si="0"/>
        <v>0</v>
      </c>
      <c r="G27" s="39">
        <f t="shared" si="1"/>
        <v>0</v>
      </c>
      <c r="H27" s="39">
        <f t="shared" si="2"/>
        <v>0</v>
      </c>
      <c r="I27" s="21"/>
      <c r="J27" s="8"/>
      <c r="K27" s="4"/>
      <c r="L27" s="4"/>
    </row>
    <row r="28" spans="1:12" x14ac:dyDescent="0.25">
      <c r="A28" s="16" t="s">
        <v>40</v>
      </c>
      <c r="B28" s="24">
        <v>1</v>
      </c>
      <c r="C28" s="265" t="s">
        <v>14</v>
      </c>
      <c r="D28" s="14">
        <v>0</v>
      </c>
      <c r="E28" s="34">
        <v>0</v>
      </c>
      <c r="F28" s="39">
        <f t="shared" si="0"/>
        <v>0</v>
      </c>
      <c r="G28" s="39">
        <f t="shared" si="1"/>
        <v>0</v>
      </c>
      <c r="H28" s="39">
        <f t="shared" si="2"/>
        <v>0</v>
      </c>
      <c r="I28" s="21"/>
      <c r="J28" s="8"/>
      <c r="K28" s="4"/>
      <c r="L28" s="4"/>
    </row>
    <row r="29" spans="1:12" x14ac:dyDescent="0.25">
      <c r="A29" s="16" t="s">
        <v>40</v>
      </c>
      <c r="B29" s="24">
        <v>1</v>
      </c>
      <c r="C29" s="265" t="s">
        <v>14</v>
      </c>
      <c r="D29" s="14">
        <v>0</v>
      </c>
      <c r="E29" s="34">
        <v>0</v>
      </c>
      <c r="F29" s="39">
        <f t="shared" si="0"/>
        <v>0</v>
      </c>
      <c r="G29" s="39">
        <f t="shared" si="1"/>
        <v>0</v>
      </c>
      <c r="H29" s="39">
        <f t="shared" si="2"/>
        <v>0</v>
      </c>
      <c r="I29" s="21"/>
      <c r="J29" s="8"/>
      <c r="K29" s="4"/>
      <c r="L29" s="4"/>
    </row>
    <row r="30" spans="1:12" x14ac:dyDescent="0.25">
      <c r="A30" s="4" t="s">
        <v>22</v>
      </c>
      <c r="B30" s="24">
        <v>1</v>
      </c>
      <c r="C30" s="119" t="s">
        <v>14</v>
      </c>
      <c r="D30" s="14">
        <v>33</v>
      </c>
      <c r="E30" s="34">
        <v>0.33</v>
      </c>
      <c r="F30" s="39">
        <f t="shared" si="0"/>
        <v>33</v>
      </c>
      <c r="G30" s="39">
        <f t="shared" si="1"/>
        <v>22.11</v>
      </c>
      <c r="H30" s="39">
        <f t="shared" si="2"/>
        <v>10.89</v>
      </c>
      <c r="I30" s="21"/>
      <c r="J30" s="8"/>
      <c r="K30" s="4"/>
      <c r="L30" s="4"/>
    </row>
    <row r="31" spans="1:12" x14ac:dyDescent="0.25">
      <c r="A31" s="4" t="s">
        <v>140</v>
      </c>
      <c r="B31" s="24">
        <v>0.78500000000000003</v>
      </c>
      <c r="C31" s="119" t="s">
        <v>48</v>
      </c>
      <c r="D31" s="55">
        <f>'Universal Input Prices'!$B$31</f>
        <v>12.45</v>
      </c>
      <c r="E31" s="34">
        <v>0</v>
      </c>
      <c r="F31" s="39">
        <f t="shared" si="0"/>
        <v>9.7732499999999991</v>
      </c>
      <c r="G31" s="39">
        <f t="shared" si="1"/>
        <v>9.7732499999999991</v>
      </c>
      <c r="H31" s="39">
        <f t="shared" si="2"/>
        <v>0</v>
      </c>
      <c r="I31" s="21"/>
      <c r="J31" s="8"/>
      <c r="K31" s="4"/>
      <c r="L31" s="4"/>
    </row>
    <row r="32" spans="1:12" x14ac:dyDescent="0.25">
      <c r="A32" s="4" t="s">
        <v>24</v>
      </c>
      <c r="B32" s="28">
        <v>0.83199999999999996</v>
      </c>
      <c r="C32" s="119" t="s">
        <v>23</v>
      </c>
      <c r="D32" s="55">
        <f>'Universal Input Prices'!$B$31</f>
        <v>12.45</v>
      </c>
      <c r="E32" s="34">
        <v>0</v>
      </c>
      <c r="F32" s="39">
        <f t="shared" si="0"/>
        <v>10.3584</v>
      </c>
      <c r="G32" s="39">
        <f t="shared" si="1"/>
        <v>10.3584</v>
      </c>
      <c r="H32" s="39">
        <f t="shared" si="2"/>
        <v>0</v>
      </c>
      <c r="I32" s="21"/>
      <c r="J32" s="8"/>
      <c r="K32" s="4"/>
      <c r="L32" s="4"/>
    </row>
    <row r="33" spans="1:12" x14ac:dyDescent="0.25">
      <c r="A33" s="4" t="s">
        <v>25</v>
      </c>
      <c r="B33" s="28">
        <v>2.04</v>
      </c>
      <c r="C33" s="119" t="s">
        <v>26</v>
      </c>
      <c r="D33" s="55">
        <f>'Universal Input Prices'!$B$32</f>
        <v>1.81</v>
      </c>
      <c r="E33" s="34">
        <v>0</v>
      </c>
      <c r="F33" s="39">
        <f t="shared" si="0"/>
        <v>3.6924000000000001</v>
      </c>
      <c r="G33" s="39">
        <f t="shared" si="1"/>
        <v>3.6924000000000001</v>
      </c>
      <c r="H33" s="39">
        <f t="shared" si="2"/>
        <v>0</v>
      </c>
      <c r="I33" s="21"/>
      <c r="J33" s="8"/>
      <c r="K33" s="4"/>
      <c r="L33" s="4"/>
    </row>
    <row r="34" spans="1:12" x14ac:dyDescent="0.25">
      <c r="A34" s="4" t="s">
        <v>27</v>
      </c>
      <c r="B34" s="28">
        <v>3.0738461539999999</v>
      </c>
      <c r="C34" s="119" t="s">
        <v>26</v>
      </c>
      <c r="D34" s="55">
        <f>'Universal Input Prices'!$B$33</f>
        <v>1.9259999999999999</v>
      </c>
      <c r="E34" s="34">
        <v>0</v>
      </c>
      <c r="F34" s="39">
        <f t="shared" si="0"/>
        <v>5.9202276926039996</v>
      </c>
      <c r="G34" s="39">
        <f t="shared" si="1"/>
        <v>5.9202276926039996</v>
      </c>
      <c r="H34" s="39">
        <f t="shared" si="2"/>
        <v>0</v>
      </c>
      <c r="I34" s="21"/>
      <c r="J34" s="8"/>
      <c r="K34" s="4"/>
      <c r="L34" s="4"/>
    </row>
    <row r="35" spans="1:12" x14ac:dyDescent="0.25">
      <c r="A35" s="4" t="s">
        <v>28</v>
      </c>
      <c r="B35" s="28">
        <v>13</v>
      </c>
      <c r="C35" s="119" t="s">
        <v>29</v>
      </c>
      <c r="D35" s="55">
        <f>'Universal Input Prices'!$B$34</f>
        <v>3.6</v>
      </c>
      <c r="E35" s="34">
        <v>0.33</v>
      </c>
      <c r="F35" s="39">
        <f t="shared" si="0"/>
        <v>46.800000000000004</v>
      </c>
      <c r="G35" s="39">
        <f t="shared" si="1"/>
        <v>31.355999999999998</v>
      </c>
      <c r="H35" s="39">
        <f t="shared" si="2"/>
        <v>15.444000000000003</v>
      </c>
      <c r="I35" s="21"/>
      <c r="J35" s="8"/>
      <c r="K35" s="4"/>
      <c r="L35" s="4"/>
    </row>
    <row r="36" spans="1:12" hidden="1" x14ac:dyDescent="0.25">
      <c r="A36" s="4" t="s">
        <v>248</v>
      </c>
      <c r="B36" s="28">
        <v>70.040000000000006</v>
      </c>
      <c r="C36" s="119"/>
      <c r="D36" s="55"/>
      <c r="E36" s="34"/>
      <c r="F36" s="39"/>
      <c r="G36" s="39"/>
      <c r="H36" s="39"/>
      <c r="I36" s="4"/>
    </row>
    <row r="37" spans="1:12" hidden="1" x14ac:dyDescent="0.25">
      <c r="A37" s="4" t="s">
        <v>249</v>
      </c>
      <c r="B37" s="48">
        <f>B35*18.85694/B36</f>
        <v>3.5000031410622503</v>
      </c>
      <c r="C37" s="119"/>
      <c r="D37" s="55"/>
      <c r="E37" s="34"/>
      <c r="F37" s="39"/>
      <c r="G37" s="39"/>
      <c r="H37" s="39"/>
      <c r="I37" s="4"/>
    </row>
    <row r="38" spans="1:12" x14ac:dyDescent="0.25">
      <c r="A38" s="4" t="s">
        <v>30</v>
      </c>
      <c r="B38" s="5"/>
      <c r="C38" s="119"/>
      <c r="D38" s="15"/>
      <c r="E38" s="36"/>
      <c r="F38" s="39"/>
      <c r="G38" s="39">
        <f t="shared" si="1"/>
        <v>0</v>
      </c>
      <c r="H38" s="39">
        <f t="shared" si="2"/>
        <v>0</v>
      </c>
      <c r="I38" s="6"/>
      <c r="J38" s="6"/>
      <c r="K38" s="4"/>
      <c r="L38" s="4"/>
    </row>
    <row r="39" spans="1:12" x14ac:dyDescent="0.25">
      <c r="A39" s="7" t="s">
        <v>31</v>
      </c>
      <c r="B39" s="5">
        <v>1</v>
      </c>
      <c r="C39" s="119" t="s">
        <v>14</v>
      </c>
      <c r="D39" s="14">
        <v>13.18</v>
      </c>
      <c r="E39" s="34">
        <v>0</v>
      </c>
      <c r="F39" s="39">
        <f>D39*B39</f>
        <v>13.18</v>
      </c>
      <c r="G39" s="39">
        <f t="shared" si="1"/>
        <v>13.18</v>
      </c>
      <c r="H39" s="39">
        <f t="shared" si="2"/>
        <v>0</v>
      </c>
      <c r="I39" s="21"/>
      <c r="J39" s="8"/>
      <c r="K39" s="4"/>
      <c r="L39" s="4"/>
    </row>
    <row r="40" spans="1:12" x14ac:dyDescent="0.25">
      <c r="A40" s="7" t="s">
        <v>2</v>
      </c>
      <c r="B40" s="5">
        <v>1</v>
      </c>
      <c r="C40" s="119" t="s">
        <v>14</v>
      </c>
      <c r="D40" s="14">
        <v>3.62</v>
      </c>
      <c r="E40" s="34">
        <v>0</v>
      </c>
      <c r="F40" s="39">
        <f>D40*B40</f>
        <v>3.62</v>
      </c>
      <c r="G40" s="39">
        <f t="shared" si="1"/>
        <v>3.62</v>
      </c>
      <c r="H40" s="39">
        <f t="shared" si="2"/>
        <v>0</v>
      </c>
      <c r="I40" s="21"/>
      <c r="J40" s="8"/>
      <c r="K40" s="4"/>
      <c r="L40" s="4"/>
    </row>
    <row r="41" spans="1:12" x14ac:dyDescent="0.25">
      <c r="A41" s="7" t="s">
        <v>32</v>
      </c>
      <c r="B41" s="5">
        <f>B35</f>
        <v>13</v>
      </c>
      <c r="C41" s="119" t="s">
        <v>29</v>
      </c>
      <c r="D41" s="14">
        <v>4.04</v>
      </c>
      <c r="E41" s="34">
        <v>0</v>
      </c>
      <c r="F41" s="39">
        <f>D41*B41</f>
        <v>52.52</v>
      </c>
      <c r="G41" s="39">
        <f t="shared" si="1"/>
        <v>52.52</v>
      </c>
      <c r="H41" s="39">
        <f t="shared" si="2"/>
        <v>0</v>
      </c>
      <c r="I41" s="21"/>
      <c r="J41" s="8"/>
      <c r="K41" s="4"/>
      <c r="L41" s="4"/>
    </row>
    <row r="42" spans="1:12" x14ac:dyDescent="0.25">
      <c r="A42" s="7" t="s">
        <v>204</v>
      </c>
      <c r="B42" s="5">
        <v>1</v>
      </c>
      <c r="C42" s="119" t="s">
        <v>14</v>
      </c>
      <c r="D42" s="14">
        <v>0</v>
      </c>
      <c r="E42" s="34">
        <v>1</v>
      </c>
      <c r="F42" s="39">
        <f>D42*B42</f>
        <v>0</v>
      </c>
      <c r="G42" s="39">
        <f t="shared" si="1"/>
        <v>0</v>
      </c>
      <c r="H42" s="39">
        <f t="shared" si="2"/>
        <v>0</v>
      </c>
      <c r="I42" s="21"/>
      <c r="J42" s="8"/>
      <c r="K42" s="4"/>
      <c r="L42" s="4"/>
    </row>
    <row r="43" spans="1:12" x14ac:dyDescent="0.25">
      <c r="A43" s="7" t="s">
        <v>33</v>
      </c>
      <c r="B43" s="5">
        <v>1</v>
      </c>
      <c r="C43" s="119" t="s">
        <v>14</v>
      </c>
      <c r="D43" s="14">
        <v>3.76</v>
      </c>
      <c r="E43" s="34">
        <v>0</v>
      </c>
      <c r="F43" s="39">
        <f>D43*B43</f>
        <v>3.76</v>
      </c>
      <c r="G43" s="39">
        <f t="shared" si="1"/>
        <v>3.76</v>
      </c>
      <c r="H43" s="39">
        <f t="shared" si="2"/>
        <v>0</v>
      </c>
      <c r="I43" s="21"/>
      <c r="J43" s="8"/>
      <c r="K43" s="4"/>
      <c r="L43" s="4"/>
    </row>
    <row r="44" spans="1:12" x14ac:dyDescent="0.25">
      <c r="A44" s="4" t="s">
        <v>34</v>
      </c>
      <c r="B44" s="89">
        <f>'Universal Input Prices'!$B$35</f>
        <v>5.3999999999999999E-2</v>
      </c>
      <c r="C44" s="119"/>
      <c r="D44" s="22"/>
      <c r="E44" s="36"/>
      <c r="F44" s="158">
        <f>(SUM(F15:F23,F25:F43))*$B44/2.4</f>
        <v>7.0086023826989736</v>
      </c>
      <c r="G44" s="158">
        <f t="shared" ref="G44:H44" si="3">(SUM(G15:G23,G25:G43))*$B44/2</f>
        <v>6.6334981299310769</v>
      </c>
      <c r="H44" s="158">
        <f t="shared" si="3"/>
        <v>1.7768247293076926</v>
      </c>
      <c r="I44" s="21"/>
      <c r="J44" s="8"/>
      <c r="K44" s="4"/>
      <c r="L44" s="4"/>
    </row>
    <row r="45" spans="1:12" x14ac:dyDescent="0.25">
      <c r="A45" s="4"/>
      <c r="B45" s="10"/>
      <c r="C45" s="119"/>
      <c r="D45" s="8"/>
      <c r="E45" s="36"/>
      <c r="F45" s="39"/>
      <c r="G45" s="39"/>
      <c r="H45" s="39"/>
      <c r="I45" s="6"/>
      <c r="J45" s="6"/>
      <c r="K45" s="4"/>
      <c r="L45" s="4"/>
    </row>
    <row r="46" spans="1:12" x14ac:dyDescent="0.25">
      <c r="A46" s="4" t="s">
        <v>205</v>
      </c>
      <c r="B46" s="10"/>
      <c r="C46" s="119"/>
      <c r="D46" s="8"/>
      <c r="E46" s="36"/>
      <c r="F46" s="39">
        <f>SUM(F15:F44)</f>
        <v>507.50204161376456</v>
      </c>
      <c r="G46" s="39">
        <f>SUM(G15:G44)</f>
        <v>441.31861405330432</v>
      </c>
      <c r="H46" s="39">
        <f>SUM(H15:H44)</f>
        <v>67.58514803700001</v>
      </c>
      <c r="I46" s="11"/>
      <c r="J46" s="8"/>
      <c r="K46" s="4"/>
      <c r="L46" s="4"/>
    </row>
    <row r="47" spans="1:12" ht="13.8" x14ac:dyDescent="0.25">
      <c r="A47" s="12" t="s">
        <v>206</v>
      </c>
      <c r="B47" s="10"/>
      <c r="C47" s="119"/>
      <c r="D47" s="8"/>
      <c r="E47" s="36"/>
      <c r="F47" s="72">
        <f>F12-F46</f>
        <v>156.09795838623546</v>
      </c>
      <c r="G47" s="72">
        <f>G12-G46</f>
        <v>3.2933859466956505</v>
      </c>
      <c r="H47" s="72">
        <f>H12-H46</f>
        <v>151.40285196300002</v>
      </c>
      <c r="I47" s="11"/>
      <c r="J47" s="8"/>
      <c r="K47" s="4"/>
      <c r="L47" s="4"/>
    </row>
    <row r="48" spans="1:12" x14ac:dyDescent="0.25">
      <c r="A48" s="4"/>
      <c r="B48" s="10"/>
      <c r="C48" s="119"/>
      <c r="D48" s="8"/>
      <c r="E48" s="36"/>
      <c r="F48" s="39"/>
      <c r="G48" s="39"/>
      <c r="H48" s="39"/>
      <c r="I48" s="11"/>
      <c r="J48" s="8"/>
      <c r="K48" s="4"/>
      <c r="L48" s="4"/>
    </row>
    <row r="49" spans="1:12" x14ac:dyDescent="0.25">
      <c r="A49" s="4" t="s">
        <v>208</v>
      </c>
      <c r="B49" s="10"/>
      <c r="C49" s="119"/>
      <c r="D49" s="8"/>
      <c r="E49" s="36"/>
      <c r="F49" s="39"/>
      <c r="G49" s="39"/>
      <c r="H49" s="39"/>
      <c r="I49" s="11"/>
      <c r="J49" s="6"/>
      <c r="K49" s="4"/>
      <c r="L49" s="4"/>
    </row>
    <row r="50" spans="1:12" x14ac:dyDescent="0.25">
      <c r="A50" s="7" t="s">
        <v>31</v>
      </c>
      <c r="B50" s="5">
        <v>1</v>
      </c>
      <c r="C50" s="119" t="s">
        <v>14</v>
      </c>
      <c r="D50" s="14">
        <v>20.05</v>
      </c>
      <c r="E50" s="34">
        <v>0</v>
      </c>
      <c r="F50" s="39">
        <f t="shared" ref="F50:F55" si="4">D50*B50</f>
        <v>20.05</v>
      </c>
      <c r="G50" s="39">
        <f t="shared" ref="G50:G58" si="5">F50*(1-E50)</f>
        <v>20.05</v>
      </c>
      <c r="H50" s="39">
        <f t="shared" ref="H50:H58" si="6">F50*E50</f>
        <v>0</v>
      </c>
      <c r="I50" s="21"/>
      <c r="J50" s="8"/>
      <c r="K50" s="4"/>
      <c r="L50" s="4"/>
    </row>
    <row r="51" spans="1:12" x14ac:dyDescent="0.25">
      <c r="A51" s="7" t="s">
        <v>2</v>
      </c>
      <c r="B51" s="5">
        <v>1</v>
      </c>
      <c r="C51" s="119" t="s">
        <v>14</v>
      </c>
      <c r="D51" s="14">
        <v>5.07</v>
      </c>
      <c r="E51" s="34">
        <v>0</v>
      </c>
      <c r="F51" s="39">
        <f t="shared" si="4"/>
        <v>5.07</v>
      </c>
      <c r="G51" s="39">
        <f t="shared" si="5"/>
        <v>5.07</v>
      </c>
      <c r="H51" s="39">
        <f t="shared" si="6"/>
        <v>0</v>
      </c>
      <c r="I51" s="21"/>
      <c r="J51" s="8"/>
      <c r="K51" s="4"/>
      <c r="L51" s="4"/>
    </row>
    <row r="52" spans="1:12" x14ac:dyDescent="0.25">
      <c r="A52" s="2" t="s">
        <v>273</v>
      </c>
      <c r="B52" s="5">
        <v>1</v>
      </c>
      <c r="C52" s="119" t="s">
        <v>14</v>
      </c>
      <c r="D52" s="14">
        <v>36.270000000000003</v>
      </c>
      <c r="E52" s="34">
        <v>0</v>
      </c>
      <c r="F52" s="39">
        <f t="shared" si="4"/>
        <v>36.270000000000003</v>
      </c>
      <c r="G52" s="39">
        <f t="shared" si="5"/>
        <v>36.270000000000003</v>
      </c>
      <c r="H52" s="39">
        <f t="shared" si="6"/>
        <v>0</v>
      </c>
      <c r="I52" s="21"/>
      <c r="J52" s="8"/>
      <c r="K52" s="4"/>
      <c r="L52" s="4"/>
    </row>
    <row r="53" spans="1:12" x14ac:dyDescent="0.25">
      <c r="A53" s="7" t="s">
        <v>204</v>
      </c>
      <c r="B53" s="5">
        <v>1</v>
      </c>
      <c r="C53" s="119" t="s">
        <v>14</v>
      </c>
      <c r="D53" s="14">
        <v>0</v>
      </c>
      <c r="E53" s="34">
        <v>1</v>
      </c>
      <c r="F53" s="39">
        <f t="shared" si="4"/>
        <v>0</v>
      </c>
      <c r="G53" s="39">
        <f t="shared" si="5"/>
        <v>0</v>
      </c>
      <c r="H53" s="39">
        <f t="shared" si="6"/>
        <v>0</v>
      </c>
      <c r="I53" s="21"/>
      <c r="J53" s="8"/>
      <c r="K53" s="4"/>
      <c r="L53" s="4"/>
    </row>
    <row r="54" spans="1:12" x14ac:dyDescent="0.25">
      <c r="A54" s="7" t="s">
        <v>33</v>
      </c>
      <c r="B54" s="5">
        <v>1</v>
      </c>
      <c r="C54" s="119" t="s">
        <v>14</v>
      </c>
      <c r="D54" s="14">
        <v>5.49</v>
      </c>
      <c r="E54" s="34">
        <v>0</v>
      </c>
      <c r="F54" s="39">
        <f t="shared" si="4"/>
        <v>5.49</v>
      </c>
      <c r="G54" s="39">
        <f t="shared" si="5"/>
        <v>5.49</v>
      </c>
      <c r="H54" s="39">
        <f t="shared" si="6"/>
        <v>0</v>
      </c>
      <c r="I54" s="21"/>
      <c r="J54" s="8"/>
      <c r="K54" s="4"/>
      <c r="L54" s="4"/>
    </row>
    <row r="55" spans="1:12" x14ac:dyDescent="0.25">
      <c r="A55" s="7" t="s">
        <v>35</v>
      </c>
      <c r="B55" s="5">
        <v>1</v>
      </c>
      <c r="C55" s="119" t="s">
        <v>14</v>
      </c>
      <c r="D55" s="14">
        <v>0</v>
      </c>
      <c r="E55" s="34">
        <v>0</v>
      </c>
      <c r="F55" s="39">
        <f t="shared" si="4"/>
        <v>0</v>
      </c>
      <c r="G55" s="39">
        <f t="shared" si="5"/>
        <v>0</v>
      </c>
      <c r="H55" s="39">
        <f t="shared" si="6"/>
        <v>0</v>
      </c>
      <c r="I55" s="21"/>
      <c r="J55" s="8"/>
      <c r="K55" s="4"/>
      <c r="L55" s="4"/>
    </row>
    <row r="56" spans="1:12" x14ac:dyDescent="0.25">
      <c r="A56" s="2" t="s">
        <v>272</v>
      </c>
      <c r="B56" s="5">
        <v>1</v>
      </c>
      <c r="C56" s="119" t="s">
        <v>14</v>
      </c>
      <c r="D56" s="14">
        <v>27.72</v>
      </c>
      <c r="E56" s="34">
        <v>0</v>
      </c>
      <c r="F56" s="39">
        <f>B56*D56</f>
        <v>27.72</v>
      </c>
      <c r="G56" s="39">
        <f t="shared" si="5"/>
        <v>27.72</v>
      </c>
      <c r="H56" s="39">
        <f t="shared" si="6"/>
        <v>0</v>
      </c>
      <c r="I56" s="65"/>
      <c r="J56" s="8"/>
      <c r="K56" s="4"/>
      <c r="L56" s="4"/>
    </row>
    <row r="57" spans="1:12" x14ac:dyDescent="0.25">
      <c r="A57" s="7" t="s">
        <v>36</v>
      </c>
      <c r="B57" s="43">
        <v>1</v>
      </c>
      <c r="C57" s="119" t="s">
        <v>14</v>
      </c>
      <c r="D57" s="14">
        <v>72</v>
      </c>
      <c r="E57" s="34">
        <v>1</v>
      </c>
      <c r="F57" s="39">
        <f>D57*B57</f>
        <v>72</v>
      </c>
      <c r="G57" s="39">
        <f>IF($H$6="Cash",D57,F57*(1-E57))</f>
        <v>0</v>
      </c>
      <c r="H57" s="39">
        <f>IF($H$6="Cash",0,F57*E57)</f>
        <v>72</v>
      </c>
      <c r="I57" s="21"/>
      <c r="J57" s="8"/>
      <c r="K57" s="4"/>
      <c r="L57" s="4"/>
    </row>
    <row r="58" spans="1:12" x14ac:dyDescent="0.25">
      <c r="A58" s="7" t="s">
        <v>42</v>
      </c>
      <c r="B58" s="43">
        <v>1</v>
      </c>
      <c r="C58" s="119" t="s">
        <v>14</v>
      </c>
      <c r="D58" s="14">
        <v>0</v>
      </c>
      <c r="E58" s="34">
        <v>1</v>
      </c>
      <c r="F58" s="39">
        <f>B58*D58</f>
        <v>0</v>
      </c>
      <c r="G58" s="39">
        <f t="shared" si="5"/>
        <v>0</v>
      </c>
      <c r="H58" s="39">
        <f t="shared" si="6"/>
        <v>0</v>
      </c>
      <c r="I58" s="65"/>
      <c r="J58" s="8"/>
      <c r="K58" s="4"/>
      <c r="L58" s="4"/>
    </row>
    <row r="59" spans="1:12" x14ac:dyDescent="0.25">
      <c r="A59" s="4" t="s">
        <v>37</v>
      </c>
      <c r="B59" s="5"/>
      <c r="C59" s="119"/>
      <c r="D59" s="10"/>
      <c r="E59" s="36"/>
      <c r="F59" s="39">
        <f>SUM(F50:F58)</f>
        <v>166.6</v>
      </c>
      <c r="G59" s="39">
        <f>SUM(G50:G58)</f>
        <v>94.6</v>
      </c>
      <c r="H59" s="39">
        <f>SUM(H50:H58)</f>
        <v>72</v>
      </c>
      <c r="I59" s="6"/>
      <c r="J59" s="8"/>
      <c r="K59" s="4"/>
      <c r="L59" s="4"/>
    </row>
    <row r="60" spans="1:12" x14ac:dyDescent="0.25">
      <c r="A60" s="4" t="s">
        <v>38</v>
      </c>
      <c r="B60" s="5"/>
      <c r="C60" s="119"/>
      <c r="D60" s="10"/>
      <c r="E60" s="36"/>
      <c r="F60" s="39">
        <f>F46+F59</f>
        <v>674.10204161376453</v>
      </c>
      <c r="G60" s="39">
        <f>G46+G59</f>
        <v>535.91861405330428</v>
      </c>
      <c r="H60" s="39">
        <f>H46+H59</f>
        <v>139.58514803700001</v>
      </c>
      <c r="I60" s="6"/>
      <c r="J60" s="8"/>
      <c r="K60" s="4"/>
      <c r="L60" s="4"/>
    </row>
    <row r="61" spans="1:12" ht="13.8" x14ac:dyDescent="0.25">
      <c r="A61" s="12" t="s">
        <v>39</v>
      </c>
      <c r="B61" s="5"/>
      <c r="C61" s="119"/>
      <c r="D61" s="10"/>
      <c r="E61" s="36"/>
      <c r="F61" s="72">
        <f>F12-F60</f>
        <v>-10.502041613764504</v>
      </c>
      <c r="G61" s="72">
        <f>G12-G60</f>
        <v>-91.306614053304315</v>
      </c>
      <c r="H61" s="72">
        <f>H12-H60</f>
        <v>79.402851963000018</v>
      </c>
      <c r="I61" s="6"/>
      <c r="J61" s="8"/>
      <c r="K61" s="4"/>
      <c r="L61" s="4"/>
    </row>
    <row r="62" spans="1:12" x14ac:dyDescent="0.25">
      <c r="A62" s="4"/>
      <c r="B62" s="5"/>
      <c r="C62" s="119"/>
      <c r="D62" s="10"/>
      <c r="E62" s="36"/>
      <c r="F62" s="8"/>
      <c r="G62" s="8"/>
      <c r="H62" s="8"/>
      <c r="I62" s="6"/>
      <c r="J62" s="8"/>
      <c r="K62" s="4"/>
      <c r="L62" s="4"/>
    </row>
    <row r="63" spans="1:12" ht="13.8" x14ac:dyDescent="0.25">
      <c r="A63" s="113" t="s">
        <v>161</v>
      </c>
      <c r="B63" s="113"/>
      <c r="C63" s="266"/>
      <c r="D63" s="113"/>
      <c r="E63" s="114"/>
      <c r="F63" s="115">
        <f>(F61/F60)</f>
        <v>-1.557930545444303E-2</v>
      </c>
      <c r="G63" s="115">
        <f t="shared" ref="G63:H63" si="7">(G61/G60)</f>
        <v>-0.17037403004670154</v>
      </c>
      <c r="H63" s="115">
        <f t="shared" si="7"/>
        <v>0.56884885734370971</v>
      </c>
      <c r="I63" s="4"/>
      <c r="J63" s="4"/>
      <c r="K63" s="4"/>
      <c r="L63" s="4"/>
    </row>
    <row r="64" spans="1:12" x14ac:dyDescent="0.25">
      <c r="B64" s="1"/>
      <c r="C64" s="269"/>
      <c r="D64" s="46"/>
      <c r="E64" s="36"/>
      <c r="F64" s="42"/>
      <c r="G64" s="42"/>
      <c r="H64" s="42"/>
      <c r="I64" s="64"/>
      <c r="J64" s="42"/>
      <c r="K64" s="4"/>
      <c r="L64" s="4"/>
    </row>
    <row r="65" spans="4:12" x14ac:dyDescent="0.25">
      <c r="D65" s="4"/>
      <c r="E65" s="36"/>
      <c r="F65" s="4"/>
      <c r="G65" s="4"/>
      <c r="H65" s="4"/>
      <c r="I65" s="4"/>
      <c r="J65" s="4"/>
      <c r="K65" s="4"/>
      <c r="L65" s="4"/>
    </row>
    <row r="66" spans="4:12" x14ac:dyDescent="0.25">
      <c r="D66" s="4"/>
      <c r="E66" s="36"/>
      <c r="F66" s="4"/>
      <c r="G66" s="4"/>
      <c r="H66" s="4"/>
      <c r="I66" s="4"/>
      <c r="J66" s="4"/>
      <c r="K66" s="4"/>
      <c r="L66" s="4"/>
    </row>
    <row r="67" spans="4:12" x14ac:dyDescent="0.25">
      <c r="D67" s="4"/>
      <c r="E67" s="10"/>
      <c r="F67" s="4"/>
      <c r="G67" s="4"/>
      <c r="H67" s="4"/>
      <c r="I67" s="4"/>
      <c r="J67" s="4"/>
      <c r="K67" s="4"/>
      <c r="L67" s="4"/>
    </row>
    <row r="68" spans="4:12" x14ac:dyDescent="0.25">
      <c r="D68" s="4"/>
      <c r="E68" s="10"/>
      <c r="F68" s="4"/>
      <c r="G68" s="4"/>
      <c r="H68" s="4"/>
      <c r="I68" s="4"/>
      <c r="J68" s="4"/>
      <c r="K68" s="4"/>
      <c r="L68" s="4"/>
    </row>
    <row r="69" spans="4:12" x14ac:dyDescent="0.25">
      <c r="D69" s="4"/>
      <c r="E69" s="10"/>
      <c r="F69" s="4"/>
      <c r="G69" s="4"/>
      <c r="H69" s="4"/>
      <c r="I69" s="4"/>
      <c r="J69" s="4"/>
      <c r="K69" s="4"/>
      <c r="L69" s="4"/>
    </row>
    <row r="70" spans="4:12" x14ac:dyDescent="0.25">
      <c r="D70" s="4"/>
      <c r="E70" s="4"/>
      <c r="F70" s="4"/>
      <c r="G70" s="4"/>
      <c r="H70" s="4"/>
      <c r="I70" s="4"/>
      <c r="J70" s="4"/>
      <c r="K70" s="4"/>
      <c r="L70" s="4"/>
    </row>
    <row r="71" spans="4:12" x14ac:dyDescent="0.25">
      <c r="D71" s="4"/>
      <c r="E71" s="46"/>
      <c r="F71" s="4"/>
      <c r="G71" s="4"/>
      <c r="H71" s="4"/>
      <c r="I71" s="4"/>
      <c r="J71" s="4"/>
      <c r="K71" s="4"/>
      <c r="L71"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82"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R69"/>
  <sheetViews>
    <sheetView showGridLines="0" showRowColHeaders="0" zoomScale="90" zoomScaleNormal="90" workbookViewId="0">
      <pane ySplit="7" topLeftCell="A38" activePane="bottomLeft" state="frozen"/>
      <selection activeCell="B9" sqref="B9"/>
      <selection pane="bottomLeft" activeCell="D50" sqref="D50"/>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165</v>
      </c>
      <c r="B3" s="319"/>
      <c r="C3" s="319"/>
      <c r="D3" s="319"/>
      <c r="E3" s="319"/>
      <c r="F3" s="319"/>
      <c r="G3" s="319"/>
      <c r="H3" s="319"/>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53" t="s">
        <v>4</v>
      </c>
      <c r="C6" s="53" t="s">
        <v>5</v>
      </c>
      <c r="D6" s="53" t="s">
        <v>6</v>
      </c>
      <c r="E6" s="53" t="s">
        <v>53</v>
      </c>
      <c r="F6" s="244"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5"/>
      <c r="D8" s="5"/>
      <c r="E8" s="5"/>
      <c r="F8" s="5"/>
      <c r="G8" s="5"/>
      <c r="H8" s="5"/>
    </row>
    <row r="9" spans="1:18" x14ac:dyDescent="0.25">
      <c r="A9" s="7" t="s">
        <v>44</v>
      </c>
      <c r="B9" s="33">
        <v>800</v>
      </c>
      <c r="C9" s="119" t="s">
        <v>79</v>
      </c>
      <c r="D9" s="54">
        <f>Grazing_Price</f>
        <v>0.4</v>
      </c>
      <c r="E9" s="34">
        <v>0.33</v>
      </c>
      <c r="F9" s="39">
        <f>D9*B9</f>
        <v>320</v>
      </c>
      <c r="G9" s="39">
        <f>F9*(1-E9)</f>
        <v>214.39999999999998</v>
      </c>
      <c r="H9" s="39">
        <f>IF(H6="Cash", 0,F9*E9)</f>
        <v>105.60000000000001</v>
      </c>
    </row>
    <row r="10" spans="1:18" x14ac:dyDescent="0.25">
      <c r="A10" s="7" t="s">
        <v>263</v>
      </c>
      <c r="B10" s="47">
        <v>0</v>
      </c>
      <c r="C10" s="119" t="s">
        <v>264</v>
      </c>
      <c r="D10" s="55">
        <v>1</v>
      </c>
      <c r="E10" s="34">
        <v>0.33</v>
      </c>
      <c r="F10" s="39">
        <f>D10*B10</f>
        <v>0</v>
      </c>
      <c r="G10" s="39">
        <f>F10*(1-E10)</f>
        <v>0</v>
      </c>
      <c r="H10" s="39">
        <f>IF(H7="Cash", D59,F10*E10)</f>
        <v>0</v>
      </c>
      <c r="I10" s="4"/>
    </row>
    <row r="11" spans="1:18" x14ac:dyDescent="0.25">
      <c r="A11" s="9"/>
      <c r="B11" s="21"/>
      <c r="C11" s="264"/>
      <c r="D11" s="8"/>
      <c r="E11" s="36"/>
      <c r="F11" s="39"/>
      <c r="G11" s="39"/>
      <c r="H11" s="39"/>
    </row>
    <row r="12" spans="1:18" x14ac:dyDescent="0.25">
      <c r="A12" s="4" t="s">
        <v>12</v>
      </c>
      <c r="B12" s="5"/>
      <c r="C12" s="119"/>
      <c r="D12" s="8"/>
      <c r="E12" s="36"/>
      <c r="F12" s="39">
        <f>SUM(F9:F11)</f>
        <v>320</v>
      </c>
      <c r="G12" s="39">
        <f>SUM(G9:G11)</f>
        <v>214.39999999999998</v>
      </c>
      <c r="H12" s="39">
        <f>SUM(H9:H11)</f>
        <v>105.60000000000001</v>
      </c>
    </row>
    <row r="13" spans="1:18" x14ac:dyDescent="0.25">
      <c r="A13" s="4"/>
      <c r="B13" s="5"/>
      <c r="C13" s="119"/>
      <c r="D13" s="8"/>
      <c r="E13" s="36"/>
      <c r="F13" s="39"/>
      <c r="G13" s="39"/>
      <c r="H13" s="39"/>
    </row>
    <row r="14" spans="1:18" x14ac:dyDescent="0.25">
      <c r="A14" s="4" t="s">
        <v>207</v>
      </c>
      <c r="B14" s="5"/>
      <c r="C14" s="119"/>
      <c r="D14" s="8"/>
      <c r="E14" s="36"/>
      <c r="F14" s="39"/>
      <c r="G14" s="39"/>
      <c r="H14" s="39"/>
    </row>
    <row r="15" spans="1:18" x14ac:dyDescent="0.25">
      <c r="A15" s="4" t="s">
        <v>1</v>
      </c>
      <c r="B15" s="28">
        <v>22</v>
      </c>
      <c r="C15" s="119" t="s">
        <v>80</v>
      </c>
      <c r="D15" s="14">
        <v>0.95</v>
      </c>
      <c r="E15" s="34">
        <v>0</v>
      </c>
      <c r="F15" s="39">
        <f>D15*B15</f>
        <v>20.9</v>
      </c>
      <c r="G15" s="39">
        <f>F15*(1-E15)</f>
        <v>20.9</v>
      </c>
      <c r="H15" s="39">
        <f>F15*E15</f>
        <v>0</v>
      </c>
      <c r="K15" s="52"/>
    </row>
    <row r="16" spans="1:18" x14ac:dyDescent="0.25">
      <c r="A16" s="4" t="s">
        <v>0</v>
      </c>
      <c r="B16" s="26"/>
      <c r="C16" s="119"/>
      <c r="D16" s="15"/>
      <c r="E16" s="36"/>
      <c r="F16" s="39"/>
      <c r="G16" s="39"/>
      <c r="H16" s="39"/>
      <c r="K16" s="52"/>
    </row>
    <row r="17" spans="1:14" x14ac:dyDescent="0.25">
      <c r="A17" s="302" t="s">
        <v>255</v>
      </c>
      <c r="B17" s="24">
        <v>160</v>
      </c>
      <c r="C17" s="119" t="s">
        <v>79</v>
      </c>
      <c r="D17" s="54">
        <f>IF(A17="",0,VLOOKUP(A17,'Universal Input Prices'!$A$26:$B$30, 2))</f>
        <v>0.25000000000000006</v>
      </c>
      <c r="E17" s="34">
        <v>0.33</v>
      </c>
      <c r="F17" s="39">
        <f>D17*B17</f>
        <v>40.000000000000007</v>
      </c>
      <c r="G17" s="39">
        <f>F17*(1-E17)</f>
        <v>26.8</v>
      </c>
      <c r="H17" s="39">
        <f>F17*E17</f>
        <v>13.200000000000003</v>
      </c>
      <c r="K17" s="52"/>
    </row>
    <row r="18" spans="1:14" x14ac:dyDescent="0.25">
      <c r="A18" s="302" t="s">
        <v>136</v>
      </c>
      <c r="B18" s="24">
        <v>50</v>
      </c>
      <c r="C18" s="119" t="s">
        <v>79</v>
      </c>
      <c r="D18" s="54">
        <f>IF(A18="",0,VLOOKUP(A18,'Universal Input Prices'!$A$26:$B$30, 2))</f>
        <v>0.47</v>
      </c>
      <c r="E18" s="34">
        <v>0.33</v>
      </c>
      <c r="F18" s="39">
        <f>D18*B18</f>
        <v>23.5</v>
      </c>
      <c r="G18" s="39">
        <f>F18*(1-E18)</f>
        <v>15.744999999999997</v>
      </c>
      <c r="H18" s="39">
        <f>F18*E18</f>
        <v>7.7550000000000008</v>
      </c>
      <c r="K18" s="52"/>
    </row>
    <row r="19" spans="1:14" x14ac:dyDescent="0.25">
      <c r="A19" s="302"/>
      <c r="B19" s="24">
        <v>0</v>
      </c>
      <c r="C19" s="119" t="s">
        <v>79</v>
      </c>
      <c r="D19" s="54">
        <f>IF(A19="",0,VLOOKUP(A19,'Universal Input Prices'!$A$26:$B$30, 2))</f>
        <v>0</v>
      </c>
      <c r="E19" s="34">
        <v>0</v>
      </c>
      <c r="F19" s="39">
        <f>D19*B19</f>
        <v>0</v>
      </c>
      <c r="G19" s="39">
        <f>F19*(1-E19)</f>
        <v>0</v>
      </c>
      <c r="H19" s="39">
        <f>F19*E19</f>
        <v>0</v>
      </c>
      <c r="I19" s="4"/>
    </row>
    <row r="20" spans="1:14" x14ac:dyDescent="0.25">
      <c r="A20" s="4" t="s">
        <v>15</v>
      </c>
      <c r="B20" s="27"/>
      <c r="C20" s="119"/>
      <c r="D20" s="8"/>
      <c r="E20" s="36"/>
      <c r="F20" s="39"/>
      <c r="G20" s="39"/>
      <c r="H20" s="39"/>
      <c r="K20" s="52"/>
    </row>
    <row r="21" spans="1:14" x14ac:dyDescent="0.25">
      <c r="A21" s="2" t="s">
        <v>236</v>
      </c>
      <c r="B21" s="24">
        <v>1</v>
      </c>
      <c r="C21" s="119" t="s">
        <v>14</v>
      </c>
      <c r="D21" s="14">
        <v>12.1</v>
      </c>
      <c r="E21" s="34">
        <v>0.33</v>
      </c>
      <c r="F21" s="39">
        <f t="shared" ref="F21:F35" si="0">D21*B21</f>
        <v>12.1</v>
      </c>
      <c r="G21" s="39">
        <f t="shared" ref="G21:G43" si="1">F21*(1-E21)</f>
        <v>8.1069999999999993</v>
      </c>
      <c r="H21" s="39">
        <f t="shared" ref="H21:H43" si="2">F21*E21</f>
        <v>3.9929999999999999</v>
      </c>
      <c r="J21" s="90"/>
      <c r="K21" s="91"/>
      <c r="L21" s="90"/>
      <c r="M21" s="90"/>
      <c r="N21" s="90"/>
    </row>
    <row r="22" spans="1:14" x14ac:dyDescent="0.25">
      <c r="A22" s="2" t="s">
        <v>43</v>
      </c>
      <c r="B22" s="24">
        <v>1</v>
      </c>
      <c r="C22" s="119" t="s">
        <v>14</v>
      </c>
      <c r="D22" s="14">
        <v>15</v>
      </c>
      <c r="E22" s="34">
        <v>0.33</v>
      </c>
      <c r="F22" s="39">
        <f t="shared" si="0"/>
        <v>15</v>
      </c>
      <c r="G22" s="39">
        <f t="shared" si="1"/>
        <v>10.049999999999999</v>
      </c>
      <c r="H22" s="39">
        <f t="shared" si="2"/>
        <v>4.95</v>
      </c>
    </row>
    <row r="23" spans="1:14" x14ac:dyDescent="0.25">
      <c r="A23" s="2" t="s">
        <v>237</v>
      </c>
      <c r="B23" s="24">
        <v>1</v>
      </c>
      <c r="C23" s="119" t="s">
        <v>14</v>
      </c>
      <c r="D23" s="14">
        <v>0</v>
      </c>
      <c r="E23" s="34">
        <v>0.33</v>
      </c>
      <c r="F23" s="39">
        <f t="shared" si="0"/>
        <v>0</v>
      </c>
      <c r="G23" s="39">
        <f t="shared" si="1"/>
        <v>0</v>
      </c>
      <c r="H23" s="39">
        <f t="shared" si="2"/>
        <v>0</v>
      </c>
    </row>
    <row r="24" spans="1:14" x14ac:dyDescent="0.25">
      <c r="A24" s="2" t="s">
        <v>47</v>
      </c>
      <c r="B24" s="27">
        <v>0</v>
      </c>
      <c r="C24" s="119" t="s">
        <v>46</v>
      </c>
      <c r="D24" s="14">
        <v>0</v>
      </c>
      <c r="E24" s="34">
        <v>0.33</v>
      </c>
      <c r="F24" s="39">
        <f t="shared" si="0"/>
        <v>0</v>
      </c>
      <c r="G24" s="39">
        <f t="shared" si="1"/>
        <v>0</v>
      </c>
      <c r="H24" s="39">
        <f t="shared" si="2"/>
        <v>0</v>
      </c>
    </row>
    <row r="25" spans="1:14" x14ac:dyDescent="0.25">
      <c r="A25" s="7" t="s">
        <v>20</v>
      </c>
      <c r="B25" s="24">
        <v>0</v>
      </c>
      <c r="C25" s="119" t="s">
        <v>14</v>
      </c>
      <c r="D25" s="14">
        <v>0</v>
      </c>
      <c r="E25" s="34">
        <v>0</v>
      </c>
      <c r="F25" s="39">
        <f t="shared" si="0"/>
        <v>0</v>
      </c>
      <c r="G25" s="39">
        <f t="shared" si="1"/>
        <v>0</v>
      </c>
      <c r="H25" s="39">
        <f t="shared" si="2"/>
        <v>0</v>
      </c>
    </row>
    <row r="26" spans="1:14" x14ac:dyDescent="0.25">
      <c r="A26" s="2" t="s">
        <v>21</v>
      </c>
      <c r="B26" s="24">
        <v>1</v>
      </c>
      <c r="C26" s="119" t="s">
        <v>14</v>
      </c>
      <c r="D26" s="14">
        <v>0</v>
      </c>
      <c r="E26" s="34">
        <v>0</v>
      </c>
      <c r="F26" s="39">
        <f>D26*B26</f>
        <v>0</v>
      </c>
      <c r="G26" s="39">
        <f>F26*(1-E26)</f>
        <v>0</v>
      </c>
      <c r="H26" s="39">
        <f>F26*E26</f>
        <v>0</v>
      </c>
    </row>
    <row r="27" spans="1:14" x14ac:dyDescent="0.25">
      <c r="A27" s="16" t="s">
        <v>40</v>
      </c>
      <c r="B27" s="24">
        <v>1</v>
      </c>
      <c r="C27" s="265" t="s">
        <v>14</v>
      </c>
      <c r="D27" s="14">
        <v>0</v>
      </c>
      <c r="E27" s="34">
        <v>0</v>
      </c>
      <c r="F27" s="39">
        <f t="shared" si="0"/>
        <v>0</v>
      </c>
      <c r="G27" s="39">
        <f t="shared" si="1"/>
        <v>0</v>
      </c>
      <c r="H27" s="39">
        <f t="shared" si="2"/>
        <v>0</v>
      </c>
    </row>
    <row r="28" spans="1:14" x14ac:dyDescent="0.25">
      <c r="A28" s="16" t="s">
        <v>40</v>
      </c>
      <c r="B28" s="24">
        <v>1</v>
      </c>
      <c r="C28" s="265" t="s">
        <v>14</v>
      </c>
      <c r="D28" s="14">
        <v>0</v>
      </c>
      <c r="E28" s="34">
        <v>0</v>
      </c>
      <c r="F28" s="39">
        <f t="shared" si="0"/>
        <v>0</v>
      </c>
      <c r="G28" s="39">
        <f t="shared" si="1"/>
        <v>0</v>
      </c>
      <c r="H28" s="39">
        <f t="shared" si="2"/>
        <v>0</v>
      </c>
    </row>
    <row r="29" spans="1:14" x14ac:dyDescent="0.25">
      <c r="A29" s="16" t="s">
        <v>40</v>
      </c>
      <c r="B29" s="24">
        <v>1</v>
      </c>
      <c r="C29" s="265" t="s">
        <v>14</v>
      </c>
      <c r="D29" s="14">
        <v>0</v>
      </c>
      <c r="E29" s="34">
        <v>0</v>
      </c>
      <c r="F29" s="39">
        <f t="shared" si="0"/>
        <v>0</v>
      </c>
      <c r="G29" s="39">
        <f t="shared" si="1"/>
        <v>0</v>
      </c>
      <c r="H29" s="39">
        <f t="shared" si="2"/>
        <v>0</v>
      </c>
    </row>
    <row r="30" spans="1:14" x14ac:dyDescent="0.25">
      <c r="A30" s="4" t="s">
        <v>22</v>
      </c>
      <c r="B30" s="24">
        <v>1</v>
      </c>
      <c r="C30" s="119" t="s">
        <v>14</v>
      </c>
      <c r="D30" s="14">
        <v>25</v>
      </c>
      <c r="E30" s="34">
        <v>0.33</v>
      </c>
      <c r="F30" s="39">
        <f t="shared" si="0"/>
        <v>25</v>
      </c>
      <c r="G30" s="39">
        <f t="shared" si="1"/>
        <v>16.75</v>
      </c>
      <c r="H30" s="39">
        <f t="shared" si="2"/>
        <v>8.25</v>
      </c>
    </row>
    <row r="31" spans="1:14" x14ac:dyDescent="0.25">
      <c r="A31" s="4" t="s">
        <v>140</v>
      </c>
      <c r="B31" s="28">
        <v>0.85499999999999998</v>
      </c>
      <c r="C31" s="119" t="s">
        <v>23</v>
      </c>
      <c r="D31" s="55">
        <f>'Universal Input Prices'!$B$31</f>
        <v>12.45</v>
      </c>
      <c r="E31" s="34">
        <v>0</v>
      </c>
      <c r="F31" s="39">
        <f t="shared" si="0"/>
        <v>10.644749999999998</v>
      </c>
      <c r="G31" s="39">
        <f t="shared" si="1"/>
        <v>10.644749999999998</v>
      </c>
      <c r="H31" s="39">
        <f t="shared" si="2"/>
        <v>0</v>
      </c>
    </row>
    <row r="32" spans="1:14" x14ac:dyDescent="0.25">
      <c r="A32" s="4" t="s">
        <v>24</v>
      </c>
      <c r="B32" s="28">
        <v>0.57599999999999996</v>
      </c>
      <c r="C32" s="119" t="s">
        <v>23</v>
      </c>
      <c r="D32" s="55">
        <f>'Universal Input Prices'!$B$31</f>
        <v>12.45</v>
      </c>
      <c r="E32" s="34">
        <v>0</v>
      </c>
      <c r="F32" s="39">
        <f t="shared" si="0"/>
        <v>7.1711999999999989</v>
      </c>
      <c r="G32" s="39">
        <f t="shared" si="1"/>
        <v>7.1711999999999989</v>
      </c>
      <c r="H32" s="39">
        <f t="shared" si="2"/>
        <v>0</v>
      </c>
    </row>
    <row r="33" spans="1:9" x14ac:dyDescent="0.25">
      <c r="A33" s="4" t="s">
        <v>25</v>
      </c>
      <c r="B33" s="28">
        <v>2.12</v>
      </c>
      <c r="C33" s="119" t="s">
        <v>26</v>
      </c>
      <c r="D33" s="55">
        <f>'Universal Input Prices'!$B$32</f>
        <v>1.81</v>
      </c>
      <c r="E33" s="34">
        <v>0</v>
      </c>
      <c r="F33" s="39">
        <f t="shared" si="0"/>
        <v>3.8372000000000002</v>
      </c>
      <c r="G33" s="39">
        <f t="shared" si="1"/>
        <v>3.8372000000000002</v>
      </c>
      <c r="H33" s="39">
        <f t="shared" si="2"/>
        <v>0</v>
      </c>
    </row>
    <row r="34" spans="1:9" x14ac:dyDescent="0.25">
      <c r="A34" s="4" t="s">
        <v>27</v>
      </c>
      <c r="B34" s="28">
        <v>2.0492300000000001</v>
      </c>
      <c r="C34" s="119" t="s">
        <v>26</v>
      </c>
      <c r="D34" s="55">
        <f>'Universal Input Prices'!$B$33</f>
        <v>1.9259999999999999</v>
      </c>
      <c r="E34" s="34">
        <v>0</v>
      </c>
      <c r="F34" s="39">
        <f t="shared" si="0"/>
        <v>3.9468169799999999</v>
      </c>
      <c r="G34" s="39">
        <f t="shared" si="1"/>
        <v>3.9468169799999999</v>
      </c>
      <c r="H34" s="39">
        <f t="shared" si="2"/>
        <v>0</v>
      </c>
    </row>
    <row r="35" spans="1:9" x14ac:dyDescent="0.25">
      <c r="A35" s="4" t="s">
        <v>28</v>
      </c>
      <c r="B35" s="28">
        <v>9</v>
      </c>
      <c r="C35" s="119" t="s">
        <v>29</v>
      </c>
      <c r="D35" s="55">
        <f>'Universal Input Prices'!$B$34</f>
        <v>3.6</v>
      </c>
      <c r="E35" s="34">
        <v>0.33</v>
      </c>
      <c r="F35" s="39">
        <f t="shared" si="0"/>
        <v>32.4</v>
      </c>
      <c r="G35" s="39">
        <f t="shared" si="1"/>
        <v>21.707999999999998</v>
      </c>
      <c r="H35" s="39">
        <f t="shared" si="2"/>
        <v>10.692</v>
      </c>
    </row>
    <row r="36" spans="1:9" hidden="1" x14ac:dyDescent="0.25">
      <c r="A36" s="4" t="s">
        <v>248</v>
      </c>
      <c r="B36" s="28">
        <v>48.49</v>
      </c>
      <c r="C36" s="119"/>
      <c r="D36" s="55"/>
      <c r="E36" s="34"/>
      <c r="F36" s="39"/>
      <c r="G36" s="39"/>
      <c r="H36" s="39"/>
      <c r="I36" s="4"/>
    </row>
    <row r="37" spans="1:9" hidden="1" x14ac:dyDescent="0.25">
      <c r="A37" s="4" t="s">
        <v>249</v>
      </c>
      <c r="B37" s="48">
        <f>B35*18.85694/B36</f>
        <v>3.4999476180655806</v>
      </c>
      <c r="C37" s="119"/>
      <c r="D37" s="55"/>
      <c r="E37" s="34"/>
      <c r="F37" s="39"/>
      <c r="G37" s="39"/>
      <c r="H37" s="39"/>
      <c r="I37" s="4"/>
    </row>
    <row r="38" spans="1:9" x14ac:dyDescent="0.25">
      <c r="A38" s="4" t="s">
        <v>30</v>
      </c>
      <c r="B38" s="5"/>
      <c r="C38" s="119"/>
      <c r="D38" s="15"/>
      <c r="E38" s="36"/>
      <c r="F38" s="39"/>
      <c r="G38" s="39"/>
      <c r="H38" s="39"/>
    </row>
    <row r="39" spans="1:9" x14ac:dyDescent="0.25">
      <c r="A39" s="7" t="s">
        <v>31</v>
      </c>
      <c r="B39" s="5">
        <v>1</v>
      </c>
      <c r="C39" s="119" t="s">
        <v>14</v>
      </c>
      <c r="D39" s="14">
        <v>11.98</v>
      </c>
      <c r="E39" s="34">
        <v>0</v>
      </c>
      <c r="F39" s="39">
        <f>D39*B39</f>
        <v>11.98</v>
      </c>
      <c r="G39" s="39">
        <f t="shared" si="1"/>
        <v>11.98</v>
      </c>
      <c r="H39" s="39">
        <f t="shared" si="2"/>
        <v>0</v>
      </c>
    </row>
    <row r="40" spans="1:9" x14ac:dyDescent="0.25">
      <c r="A40" s="7" t="s">
        <v>2</v>
      </c>
      <c r="B40" s="5">
        <v>1</v>
      </c>
      <c r="C40" s="119" t="s">
        <v>14</v>
      </c>
      <c r="D40" s="14">
        <v>3.78</v>
      </c>
      <c r="E40" s="34">
        <v>0</v>
      </c>
      <c r="F40" s="39">
        <f>D40*B40</f>
        <v>3.78</v>
      </c>
      <c r="G40" s="39">
        <f t="shared" si="1"/>
        <v>3.78</v>
      </c>
      <c r="H40" s="39">
        <f t="shared" si="2"/>
        <v>0</v>
      </c>
    </row>
    <row r="41" spans="1:9" x14ac:dyDescent="0.25">
      <c r="A41" s="7" t="s">
        <v>32</v>
      </c>
      <c r="B41" s="5">
        <f>B35</f>
        <v>9</v>
      </c>
      <c r="C41" s="119" t="s">
        <v>29</v>
      </c>
      <c r="D41" s="14">
        <v>4.04</v>
      </c>
      <c r="E41" s="34">
        <v>0</v>
      </c>
      <c r="F41" s="39">
        <f>D41*B41</f>
        <v>36.36</v>
      </c>
      <c r="G41" s="39">
        <f t="shared" si="1"/>
        <v>36.36</v>
      </c>
      <c r="H41" s="39">
        <f t="shared" si="2"/>
        <v>0</v>
      </c>
    </row>
    <row r="42" spans="1:9" x14ac:dyDescent="0.25">
      <c r="A42" s="7" t="s">
        <v>204</v>
      </c>
      <c r="B42" s="5">
        <v>1</v>
      </c>
      <c r="C42" s="119" t="s">
        <v>14</v>
      </c>
      <c r="D42" s="14">
        <v>0</v>
      </c>
      <c r="E42" s="34">
        <v>1</v>
      </c>
      <c r="F42" s="39">
        <f>D42*B42</f>
        <v>0</v>
      </c>
      <c r="G42" s="39">
        <f t="shared" si="1"/>
        <v>0</v>
      </c>
      <c r="H42" s="39">
        <f t="shared" si="2"/>
        <v>0</v>
      </c>
    </row>
    <row r="43" spans="1:9" x14ac:dyDescent="0.25">
      <c r="A43" s="7" t="s">
        <v>33</v>
      </c>
      <c r="B43" s="5">
        <v>1</v>
      </c>
      <c r="C43" s="119" t="s">
        <v>14</v>
      </c>
      <c r="D43" s="14">
        <v>2.5099999999999998</v>
      </c>
      <c r="E43" s="34">
        <v>0</v>
      </c>
      <c r="F43" s="39">
        <f>D43*B43</f>
        <v>2.5099999999999998</v>
      </c>
      <c r="G43" s="39">
        <f t="shared" si="1"/>
        <v>2.5099999999999998</v>
      </c>
      <c r="H43" s="39">
        <f t="shared" si="2"/>
        <v>0</v>
      </c>
    </row>
    <row r="44" spans="1:9" x14ac:dyDescent="0.25">
      <c r="A44" s="4" t="s">
        <v>34</v>
      </c>
      <c r="B44" s="89">
        <f>'Universal Input Prices'!$B$35</f>
        <v>5.3999999999999999E-2</v>
      </c>
      <c r="C44" s="119"/>
      <c r="D44" s="22"/>
      <c r="E44" s="36"/>
      <c r="F44" s="158">
        <f>(SUM(F15:F23,F25:F43))*$B44/2.665</f>
        <v>5.048036854378986</v>
      </c>
      <c r="G44" s="158">
        <f t="shared" ref="G44:H44" si="3">(SUM(G15:G23,G25:G43))*$B44/2</f>
        <v>5.4078291084599996</v>
      </c>
      <c r="H44" s="158">
        <f t="shared" si="3"/>
        <v>1.3186800000000001</v>
      </c>
    </row>
    <row r="45" spans="1:9" x14ac:dyDescent="0.25">
      <c r="A45" s="4"/>
      <c r="B45" s="10"/>
      <c r="C45" s="119"/>
      <c r="D45" s="8"/>
      <c r="E45" s="36"/>
      <c r="F45" s="39"/>
      <c r="G45" s="39"/>
      <c r="H45" s="39"/>
    </row>
    <row r="46" spans="1:9" x14ac:dyDescent="0.25">
      <c r="A46" s="4" t="s">
        <v>205</v>
      </c>
      <c r="B46" s="10"/>
      <c r="C46" s="119"/>
      <c r="D46" s="8"/>
      <c r="E46" s="36"/>
      <c r="F46" s="39">
        <f>SUM(F15:F44)</f>
        <v>254.17800383437893</v>
      </c>
      <c r="G46" s="39">
        <f>SUM(G15:G44)</f>
        <v>205.69779608845997</v>
      </c>
      <c r="H46" s="39">
        <f>SUM(H15:H44)</f>
        <v>50.158680000000004</v>
      </c>
    </row>
    <row r="47" spans="1:9" ht="13.8" x14ac:dyDescent="0.25">
      <c r="A47" s="12" t="s">
        <v>206</v>
      </c>
      <c r="B47" s="10"/>
      <c r="C47" s="119"/>
      <c r="D47" s="8"/>
      <c r="E47" s="36"/>
      <c r="F47" s="72">
        <f>F12-F46</f>
        <v>65.821996165621073</v>
      </c>
      <c r="G47" s="72">
        <f>G12-G46</f>
        <v>8.7022039115400105</v>
      </c>
      <c r="H47" s="72">
        <f>H12-H46</f>
        <v>55.441320000000005</v>
      </c>
    </row>
    <row r="48" spans="1:9" x14ac:dyDescent="0.25">
      <c r="A48" s="4"/>
      <c r="B48" s="10"/>
      <c r="C48" s="119"/>
      <c r="D48" s="8"/>
      <c r="E48" s="36"/>
      <c r="F48" s="39"/>
      <c r="G48" s="39"/>
      <c r="H48" s="39"/>
    </row>
    <row r="49" spans="1:9" x14ac:dyDescent="0.25">
      <c r="A49" s="4" t="s">
        <v>208</v>
      </c>
      <c r="B49" s="10"/>
      <c r="C49" s="119"/>
      <c r="D49" s="8"/>
      <c r="E49" s="36"/>
      <c r="F49" s="39"/>
      <c r="G49" s="39"/>
      <c r="H49" s="39"/>
    </row>
    <row r="50" spans="1:9" x14ac:dyDescent="0.25">
      <c r="A50" s="7" t="s">
        <v>31</v>
      </c>
      <c r="B50" s="5">
        <v>1</v>
      </c>
      <c r="C50" s="119" t="s">
        <v>14</v>
      </c>
      <c r="D50" s="14">
        <v>18.79</v>
      </c>
      <c r="E50" s="34">
        <v>0</v>
      </c>
      <c r="F50" s="39">
        <f t="shared" ref="F50:F55" si="4">D50*B50</f>
        <v>18.79</v>
      </c>
      <c r="G50" s="39">
        <f t="shared" ref="G50:G58" si="5">F50*(1-E50)</f>
        <v>18.79</v>
      </c>
      <c r="H50" s="39">
        <f t="shared" ref="H50:H58" si="6">F50*E50</f>
        <v>0</v>
      </c>
    </row>
    <row r="51" spans="1:9" x14ac:dyDescent="0.25">
      <c r="A51" s="7" t="s">
        <v>2</v>
      </c>
      <c r="B51" s="5">
        <v>1</v>
      </c>
      <c r="C51" s="119" t="s">
        <v>14</v>
      </c>
      <c r="D51" s="14">
        <v>5.4</v>
      </c>
      <c r="E51" s="34">
        <v>0</v>
      </c>
      <c r="F51" s="39">
        <f t="shared" si="4"/>
        <v>5.4</v>
      </c>
      <c r="G51" s="39">
        <f t="shared" si="5"/>
        <v>5.4</v>
      </c>
      <c r="H51" s="39">
        <f t="shared" si="6"/>
        <v>0</v>
      </c>
    </row>
    <row r="52" spans="1:9" x14ac:dyDescent="0.25">
      <c r="A52" s="2" t="s">
        <v>273</v>
      </c>
      <c r="B52" s="5">
        <v>1</v>
      </c>
      <c r="C52" s="119" t="s">
        <v>14</v>
      </c>
      <c r="D52" s="14">
        <v>30.74</v>
      </c>
      <c r="E52" s="34">
        <v>0</v>
      </c>
      <c r="F52" s="39">
        <f t="shared" si="4"/>
        <v>30.74</v>
      </c>
      <c r="G52" s="39">
        <f t="shared" si="5"/>
        <v>30.74</v>
      </c>
      <c r="H52" s="39">
        <f t="shared" si="6"/>
        <v>0</v>
      </c>
    </row>
    <row r="53" spans="1:9" x14ac:dyDescent="0.25">
      <c r="A53" s="7" t="s">
        <v>204</v>
      </c>
      <c r="B53" s="5">
        <v>1</v>
      </c>
      <c r="C53" s="119" t="s">
        <v>14</v>
      </c>
      <c r="D53" s="14">
        <v>0</v>
      </c>
      <c r="E53" s="34">
        <v>1</v>
      </c>
      <c r="F53" s="39">
        <f t="shared" si="4"/>
        <v>0</v>
      </c>
      <c r="G53" s="39">
        <f t="shared" si="5"/>
        <v>0</v>
      </c>
      <c r="H53" s="39">
        <f t="shared" si="6"/>
        <v>0</v>
      </c>
    </row>
    <row r="54" spans="1:9" x14ac:dyDescent="0.25">
      <c r="A54" s="7" t="s">
        <v>33</v>
      </c>
      <c r="B54" s="5">
        <v>1</v>
      </c>
      <c r="C54" s="119" t="s">
        <v>14</v>
      </c>
      <c r="D54" s="14">
        <v>3.66</v>
      </c>
      <c r="E54" s="34">
        <v>0</v>
      </c>
      <c r="F54" s="39">
        <f t="shared" si="4"/>
        <v>3.66</v>
      </c>
      <c r="G54" s="39">
        <f t="shared" si="5"/>
        <v>3.66</v>
      </c>
      <c r="H54" s="39">
        <f t="shared" si="6"/>
        <v>0</v>
      </c>
    </row>
    <row r="55" spans="1:9" x14ac:dyDescent="0.25">
      <c r="A55" s="7" t="s">
        <v>35</v>
      </c>
      <c r="B55" s="5">
        <v>1</v>
      </c>
      <c r="C55" s="119" t="s">
        <v>14</v>
      </c>
      <c r="D55" s="14">
        <v>0</v>
      </c>
      <c r="E55" s="34">
        <v>0</v>
      </c>
      <c r="F55" s="39">
        <f t="shared" si="4"/>
        <v>0</v>
      </c>
      <c r="G55" s="39">
        <f t="shared" si="5"/>
        <v>0</v>
      </c>
      <c r="H55" s="39">
        <f t="shared" si="6"/>
        <v>0</v>
      </c>
    </row>
    <row r="56" spans="1:9" x14ac:dyDescent="0.25">
      <c r="A56" s="2" t="s">
        <v>272</v>
      </c>
      <c r="B56" s="5">
        <v>1</v>
      </c>
      <c r="C56" s="119" t="s">
        <v>14</v>
      </c>
      <c r="D56" s="14">
        <v>25.43</v>
      </c>
      <c r="E56" s="34">
        <v>0</v>
      </c>
      <c r="F56" s="39">
        <f>B56*D56</f>
        <v>25.43</v>
      </c>
      <c r="G56" s="39">
        <f t="shared" si="5"/>
        <v>25.43</v>
      </c>
      <c r="H56" s="39">
        <f t="shared" si="6"/>
        <v>0</v>
      </c>
    </row>
    <row r="57" spans="1:9" x14ac:dyDescent="0.25">
      <c r="A57" s="7" t="s">
        <v>36</v>
      </c>
      <c r="B57" s="43">
        <v>1</v>
      </c>
      <c r="C57" s="119" t="s">
        <v>14</v>
      </c>
      <c r="D57" s="14">
        <v>72</v>
      </c>
      <c r="E57" s="34">
        <v>1</v>
      </c>
      <c r="F57" s="39">
        <f>D57*B57</f>
        <v>72</v>
      </c>
      <c r="G57" s="39">
        <f>IF($H$6="Cash",D57,F57*(1-E57))</f>
        <v>0</v>
      </c>
      <c r="H57" s="39">
        <f>IF($H$6="Cash",0,F57*E57)</f>
        <v>72</v>
      </c>
    </row>
    <row r="58" spans="1:9" x14ac:dyDescent="0.25">
      <c r="A58" s="7" t="s">
        <v>42</v>
      </c>
      <c r="B58" s="43">
        <v>1</v>
      </c>
      <c r="C58" s="119" t="s">
        <v>14</v>
      </c>
      <c r="D58" s="14">
        <v>0</v>
      </c>
      <c r="E58" s="34">
        <v>1</v>
      </c>
      <c r="F58" s="39">
        <f>B58*D58</f>
        <v>0</v>
      </c>
      <c r="G58" s="39">
        <f t="shared" si="5"/>
        <v>0</v>
      </c>
      <c r="H58" s="39">
        <f t="shared" si="6"/>
        <v>0</v>
      </c>
    </row>
    <row r="59" spans="1:9" x14ac:dyDescent="0.25">
      <c r="A59" s="4" t="s">
        <v>37</v>
      </c>
      <c r="B59" s="5"/>
      <c r="C59" s="119"/>
      <c r="D59" s="10"/>
      <c r="E59" s="36"/>
      <c r="F59" s="39">
        <f>SUM(F50:F58)</f>
        <v>156.01999999999998</v>
      </c>
      <c r="G59" s="39">
        <f>SUM(G50:G58)</f>
        <v>84.019999999999982</v>
      </c>
      <c r="H59" s="39">
        <f>SUM(H50:H58)</f>
        <v>72</v>
      </c>
    </row>
    <row r="60" spans="1:9" x14ac:dyDescent="0.25">
      <c r="A60" s="4" t="s">
        <v>38</v>
      </c>
      <c r="B60" s="5"/>
      <c r="C60" s="119"/>
      <c r="D60" s="10"/>
      <c r="E60" s="36"/>
      <c r="F60" s="39">
        <f>F46+F59</f>
        <v>410.19800383437894</v>
      </c>
      <c r="G60" s="39">
        <f>G46+G59</f>
        <v>289.71779608845998</v>
      </c>
      <c r="H60" s="39">
        <f>H46+H59</f>
        <v>122.15868</v>
      </c>
    </row>
    <row r="61" spans="1:9" ht="13.8" x14ac:dyDescent="0.25">
      <c r="A61" s="12" t="s">
        <v>39</v>
      </c>
      <c r="B61" s="31"/>
      <c r="C61" s="141"/>
      <c r="D61" s="30"/>
      <c r="E61" s="73"/>
      <c r="F61" s="72">
        <f>F12-F60</f>
        <v>-90.198003834378937</v>
      </c>
      <c r="G61" s="72">
        <f>G12-G60</f>
        <v>-75.31779608846</v>
      </c>
      <c r="H61" s="72">
        <f>H12-H60</f>
        <v>-16.558679999999995</v>
      </c>
      <c r="I61" s="4"/>
    </row>
    <row r="62" spans="1:9" x14ac:dyDescent="0.25">
      <c r="A62" s="4"/>
      <c r="B62" s="5"/>
      <c r="C62" s="119"/>
      <c r="D62" s="10"/>
      <c r="E62" s="36"/>
      <c r="F62" s="8"/>
      <c r="G62" s="8"/>
      <c r="H62" s="8"/>
      <c r="I62" s="4"/>
    </row>
    <row r="63" spans="1:9" ht="13.8" x14ac:dyDescent="0.25">
      <c r="A63" s="113" t="s">
        <v>161</v>
      </c>
      <c r="B63" s="113"/>
      <c r="C63" s="266"/>
      <c r="D63" s="113"/>
      <c r="E63" s="114"/>
      <c r="F63" s="115">
        <f>(F61/F60)</f>
        <v>-0.21988893897883807</v>
      </c>
      <c r="G63" s="115">
        <f t="shared" ref="G63:H63" si="7">(G61/G60)</f>
        <v>-0.25996951897791981</v>
      </c>
      <c r="H63" s="115">
        <f t="shared" si="7"/>
        <v>-0.13555058060548783</v>
      </c>
      <c r="I63" s="4"/>
    </row>
    <row r="64" spans="1:9" x14ac:dyDescent="0.25">
      <c r="B64" s="1"/>
      <c r="C64" s="270"/>
      <c r="D64" s="46"/>
      <c r="E64" s="36"/>
      <c r="F64" s="42"/>
      <c r="G64" s="4"/>
      <c r="H64" s="4"/>
      <c r="I64" s="4"/>
    </row>
    <row r="65" spans="3:9" x14ac:dyDescent="0.25">
      <c r="C65" s="4"/>
      <c r="D65" s="4"/>
      <c r="E65" s="10"/>
      <c r="F65" s="4"/>
      <c r="G65" s="4"/>
      <c r="H65" s="4"/>
      <c r="I65" s="4"/>
    </row>
    <row r="66" spans="3:9" x14ac:dyDescent="0.25">
      <c r="C66" s="4"/>
      <c r="D66" s="4"/>
      <c r="E66" s="10"/>
      <c r="F66" s="4"/>
      <c r="G66" s="4"/>
      <c r="H66" s="4"/>
      <c r="I66" s="4"/>
    </row>
    <row r="67" spans="3:9" x14ac:dyDescent="0.25">
      <c r="C67" s="4"/>
      <c r="D67" s="4"/>
      <c r="E67" s="10"/>
      <c r="F67" s="4"/>
      <c r="G67" s="4"/>
      <c r="H67" s="4"/>
    </row>
    <row r="68" spans="3:9" x14ac:dyDescent="0.25">
      <c r="C68" s="4"/>
      <c r="D68" s="4"/>
      <c r="E68" s="4"/>
      <c r="F68" s="4"/>
      <c r="G68" s="4"/>
      <c r="H68" s="4"/>
    </row>
    <row r="69" spans="3:9" x14ac:dyDescent="0.25">
      <c r="C69" s="4"/>
      <c r="D69" s="4"/>
      <c r="E69" s="46"/>
      <c r="F69" s="4"/>
      <c r="G69" s="4"/>
      <c r="H69" s="4"/>
    </row>
  </sheetData>
  <sheetProtection sheet="1" objects="1" scenarios="1" formatColumns="0" formatRows="0" selectLockedCells="1"/>
  <mergeCells count="3">
    <mergeCell ref="A2:H2"/>
    <mergeCell ref="A3:H3"/>
    <mergeCell ref="A4:H4"/>
  </mergeCells>
  <phoneticPr fontId="23"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83"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T79"/>
  <sheetViews>
    <sheetView showGridLines="0" showRowColHeaders="0" zoomScale="90" zoomScaleNormal="90" workbookViewId="0">
      <pane ySplit="7" topLeftCell="A43" activePane="bottomLeft" state="frozen"/>
      <selection activeCell="B9" sqref="B9"/>
      <selection pane="bottomLeft" activeCell="D60" sqref="D60"/>
    </sheetView>
  </sheetViews>
  <sheetFormatPr defaultRowHeight="13.2" x14ac:dyDescent="0.25"/>
  <cols>
    <col min="1" max="1" width="35.5546875" customWidth="1"/>
    <col min="2" max="8" width="10.5546875" customWidth="1"/>
    <col min="9" max="9" width="9.55468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113</v>
      </c>
      <c r="B3" s="319"/>
      <c r="C3" s="319"/>
      <c r="D3" s="319"/>
      <c r="E3" s="319"/>
      <c r="F3" s="319"/>
      <c r="G3" s="319"/>
      <c r="H3" s="319"/>
      <c r="I3" s="4"/>
      <c r="J3" s="4"/>
      <c r="K3" s="4"/>
      <c r="L3" s="4"/>
      <c r="M3" s="4"/>
    </row>
    <row r="4" spans="1:20" ht="15" x14ac:dyDescent="0.25">
      <c r="A4" s="319" t="s">
        <v>269</v>
      </c>
      <c r="B4" s="319"/>
      <c r="C4" s="319"/>
      <c r="D4" s="319"/>
      <c r="E4" s="319"/>
      <c r="F4" s="319"/>
      <c r="G4" s="319"/>
      <c r="H4" s="319"/>
      <c r="I4" s="4"/>
      <c r="J4" s="4"/>
      <c r="K4" s="4"/>
      <c r="L4" s="4"/>
      <c r="M4" s="4"/>
    </row>
    <row r="5" spans="1:20" ht="13.8" x14ac:dyDescent="0.25">
      <c r="A5" s="4"/>
      <c r="B5" s="40"/>
      <c r="C5" s="40"/>
      <c r="D5" s="40"/>
      <c r="E5" s="40"/>
      <c r="G5" s="245"/>
      <c r="H5" s="242" t="s">
        <v>102</v>
      </c>
      <c r="I5" s="69" t="s">
        <v>55</v>
      </c>
      <c r="J5" s="40"/>
      <c r="K5" s="4"/>
      <c r="L5" s="4"/>
      <c r="M5" s="4"/>
      <c r="S5" s="1"/>
      <c r="T5" s="1"/>
    </row>
    <row r="6" spans="1:20" ht="13.8" x14ac:dyDescent="0.25">
      <c r="A6" s="4" t="s">
        <v>3</v>
      </c>
      <c r="B6" s="53" t="s">
        <v>4</v>
      </c>
      <c r="C6" s="53" t="s">
        <v>5</v>
      </c>
      <c r="D6" s="53" t="s">
        <v>6</v>
      </c>
      <c r="E6" s="53" t="s">
        <v>53</v>
      </c>
      <c r="F6" s="244" t="s">
        <v>151</v>
      </c>
      <c r="G6" s="244"/>
      <c r="H6" s="112" t="s">
        <v>55</v>
      </c>
      <c r="I6" s="70" t="s">
        <v>103</v>
      </c>
      <c r="J6" s="5"/>
      <c r="K6" s="41"/>
      <c r="L6" s="4"/>
      <c r="M6" s="4"/>
    </row>
    <row r="7" spans="1:20" x14ac:dyDescent="0.25">
      <c r="A7" s="4"/>
      <c r="B7" s="5"/>
      <c r="C7" s="5"/>
      <c r="D7" s="5"/>
      <c r="E7" s="53" t="s">
        <v>55</v>
      </c>
      <c r="F7" s="53" t="s">
        <v>56</v>
      </c>
      <c r="G7" s="53" t="s">
        <v>52</v>
      </c>
      <c r="H7" s="53" t="s">
        <v>53</v>
      </c>
      <c r="J7" s="6"/>
      <c r="K7" s="4"/>
      <c r="L7" s="4"/>
      <c r="M7" s="4"/>
    </row>
    <row r="8" spans="1:20" x14ac:dyDescent="0.25">
      <c r="A8" s="4" t="s">
        <v>7</v>
      </c>
      <c r="B8" s="5"/>
      <c r="C8" s="5"/>
      <c r="D8" s="5"/>
      <c r="E8" s="5"/>
      <c r="F8" s="5"/>
      <c r="G8" s="5"/>
      <c r="H8" s="5"/>
      <c r="J8" s="6"/>
      <c r="K8" s="4"/>
      <c r="L8" s="4"/>
      <c r="M8" s="4"/>
    </row>
    <row r="9" spans="1:20" x14ac:dyDescent="0.25">
      <c r="A9" s="7" t="s">
        <v>60</v>
      </c>
      <c r="B9" s="23">
        <v>60</v>
      </c>
      <c r="C9" s="119" t="s">
        <v>80</v>
      </c>
      <c r="D9" s="55">
        <f>'Universal Input Prices'!$B$14</f>
        <v>8.4</v>
      </c>
      <c r="E9" s="34">
        <v>0.33</v>
      </c>
      <c r="F9" s="39">
        <f>D9*B9</f>
        <v>504</v>
      </c>
      <c r="G9" s="39">
        <f>F9*(1-E9)</f>
        <v>337.67999999999995</v>
      </c>
      <c r="H9" s="39">
        <f>IF(H6="Cash", D60,F9*E9)</f>
        <v>166.32000000000002</v>
      </c>
      <c r="J9" s="8"/>
      <c r="K9" s="64"/>
      <c r="L9" s="4"/>
      <c r="M9" s="4"/>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264"/>
      <c r="D11" s="8"/>
      <c r="E11" s="36"/>
      <c r="F11" s="39"/>
      <c r="G11" s="39"/>
      <c r="H11" s="39"/>
      <c r="I11" s="20"/>
      <c r="J11" s="6"/>
      <c r="K11" s="4"/>
      <c r="L11" s="4"/>
      <c r="M11" s="4"/>
    </row>
    <row r="12" spans="1:20" x14ac:dyDescent="0.25">
      <c r="A12" s="4" t="s">
        <v>12</v>
      </c>
      <c r="B12" s="5"/>
      <c r="C12" s="119"/>
      <c r="D12" s="8"/>
      <c r="E12" s="36"/>
      <c r="F12" s="39">
        <f>SUM(F8:F11)</f>
        <v>504</v>
      </c>
      <c r="G12" s="39">
        <f>SUM(G8:G11)</f>
        <v>337.67999999999995</v>
      </c>
      <c r="H12" s="39">
        <f>SUM(H8:H11)</f>
        <v>166.32000000000002</v>
      </c>
      <c r="I12" s="20"/>
      <c r="J12" s="8"/>
      <c r="K12" s="4"/>
      <c r="L12" s="4"/>
      <c r="M12" s="4"/>
    </row>
    <row r="13" spans="1:20" x14ac:dyDescent="0.25">
      <c r="A13" s="4"/>
      <c r="B13" s="5"/>
      <c r="C13" s="119"/>
      <c r="D13" s="8"/>
      <c r="E13" s="36"/>
      <c r="F13" s="39"/>
      <c r="G13" s="39"/>
      <c r="H13" s="39"/>
      <c r="I13" s="6"/>
      <c r="J13" s="6"/>
      <c r="K13" s="4"/>
      <c r="L13" s="4"/>
      <c r="M13" s="4"/>
    </row>
    <row r="14" spans="1:20" x14ac:dyDescent="0.25">
      <c r="A14" s="4" t="s">
        <v>207</v>
      </c>
      <c r="B14" s="5"/>
      <c r="C14" s="119"/>
      <c r="D14" s="8"/>
      <c r="E14" s="36"/>
      <c r="F14" s="39"/>
      <c r="G14" s="39"/>
      <c r="H14" s="39"/>
      <c r="I14" s="6"/>
      <c r="J14" s="6"/>
      <c r="K14" s="4"/>
      <c r="L14" s="4"/>
      <c r="M14" s="4"/>
    </row>
    <row r="15" spans="1:20" x14ac:dyDescent="0.25">
      <c r="A15" s="4" t="s">
        <v>1</v>
      </c>
      <c r="B15" s="5"/>
      <c r="C15" s="119"/>
      <c r="D15" s="8"/>
      <c r="E15" s="36"/>
      <c r="F15" s="39"/>
      <c r="G15" s="39"/>
      <c r="H15" s="39"/>
      <c r="I15" s="6"/>
    </row>
    <row r="16" spans="1:20" x14ac:dyDescent="0.25">
      <c r="A16" s="7" t="s">
        <v>123</v>
      </c>
      <c r="B16" s="28">
        <v>1</v>
      </c>
      <c r="C16" s="119" t="s">
        <v>142</v>
      </c>
      <c r="D16" s="13">
        <v>73</v>
      </c>
      <c r="E16" s="34">
        <v>0</v>
      </c>
      <c r="F16" s="39">
        <f>D16*B16</f>
        <v>73</v>
      </c>
      <c r="G16" s="39">
        <f>F16*(1-E16)</f>
        <v>73</v>
      </c>
      <c r="H16" s="39">
        <f>F16*E16</f>
        <v>0</v>
      </c>
      <c r="I16" s="21"/>
    </row>
    <row r="17" spans="1:13" x14ac:dyDescent="0.25">
      <c r="A17" s="7" t="s">
        <v>104</v>
      </c>
      <c r="B17" s="43">
        <f>B16</f>
        <v>1</v>
      </c>
      <c r="C17" s="119" t="s">
        <v>79</v>
      </c>
      <c r="D17" s="13">
        <v>0</v>
      </c>
      <c r="E17" s="34">
        <v>0</v>
      </c>
      <c r="F17" s="39">
        <f>D17*B17</f>
        <v>0</v>
      </c>
      <c r="G17" s="39">
        <f>F17*(1-E17)</f>
        <v>0</v>
      </c>
      <c r="H17" s="39">
        <f>+F17*E17</f>
        <v>0</v>
      </c>
      <c r="I17" s="18"/>
    </row>
    <row r="18" spans="1:13" x14ac:dyDescent="0.25">
      <c r="A18" s="7" t="s">
        <v>105</v>
      </c>
      <c r="B18" s="24">
        <v>1</v>
      </c>
      <c r="C18" s="119" t="s">
        <v>14</v>
      </c>
      <c r="D18" s="14">
        <v>7.85</v>
      </c>
      <c r="E18" s="34">
        <v>0</v>
      </c>
      <c r="F18" s="39">
        <f>D18*B18</f>
        <v>7.85</v>
      </c>
      <c r="G18" s="39">
        <f>F18*(1-E18)</f>
        <v>7.85</v>
      </c>
      <c r="H18" s="39">
        <f>F18*E18</f>
        <v>0</v>
      </c>
      <c r="I18" s="21"/>
    </row>
    <row r="19" spans="1:13" x14ac:dyDescent="0.25">
      <c r="A19" s="4" t="s">
        <v>0</v>
      </c>
      <c r="B19" s="26"/>
      <c r="C19" s="119"/>
      <c r="D19" s="15"/>
      <c r="E19" s="36"/>
      <c r="F19" s="39"/>
      <c r="G19" s="39"/>
      <c r="H19" s="39"/>
      <c r="I19" s="6"/>
    </row>
    <row r="20" spans="1:13" x14ac:dyDescent="0.25">
      <c r="A20" s="302" t="s">
        <v>136</v>
      </c>
      <c r="B20" s="24">
        <v>45</v>
      </c>
      <c r="C20" s="119" t="s">
        <v>79</v>
      </c>
      <c r="D20" s="54">
        <f>IF(A20="",0,VLOOKUP(A20,'Universal Input Prices'!$A$26:$B$30, 2))</f>
        <v>0.47</v>
      </c>
      <c r="E20" s="34">
        <v>0.33</v>
      </c>
      <c r="F20" s="39">
        <f>D20*B20</f>
        <v>21.15</v>
      </c>
      <c r="G20" s="39">
        <f>F20*(1-E20)</f>
        <v>14.170499999999997</v>
      </c>
      <c r="H20" s="39">
        <f>F20*E20</f>
        <v>6.9794999999999998</v>
      </c>
      <c r="I20" s="21"/>
    </row>
    <row r="21" spans="1:13" x14ac:dyDescent="0.25">
      <c r="A21" s="302"/>
      <c r="B21" s="24">
        <v>0</v>
      </c>
      <c r="C21" s="119" t="s">
        <v>79</v>
      </c>
      <c r="D21" s="54">
        <f>IF(A21="",0,VLOOKUP(A21,'Universal Input Prices'!$A$26:$B$30, 2))</f>
        <v>0</v>
      </c>
      <c r="E21" s="34">
        <v>0</v>
      </c>
      <c r="F21" s="39">
        <f>D21*B21</f>
        <v>0</v>
      </c>
      <c r="G21" s="39">
        <f>F21*(1-E21)</f>
        <v>0</v>
      </c>
      <c r="H21" s="39">
        <f>F21*E21</f>
        <v>0</v>
      </c>
      <c r="I21" s="4"/>
    </row>
    <row r="22" spans="1:13" x14ac:dyDescent="0.25">
      <c r="A22" s="302"/>
      <c r="B22" s="24">
        <v>0</v>
      </c>
      <c r="C22" s="119" t="s">
        <v>79</v>
      </c>
      <c r="D22" s="54">
        <f>IF(A22="",0,VLOOKUP(A22,'Universal Input Prices'!$A$26:$B$30, 2))</f>
        <v>0</v>
      </c>
      <c r="E22" s="34">
        <v>0</v>
      </c>
      <c r="F22" s="39">
        <f>D22*B22</f>
        <v>0</v>
      </c>
      <c r="G22" s="39">
        <f>F22*(1-E22)</f>
        <v>0</v>
      </c>
      <c r="H22" s="39">
        <f>F22*E22</f>
        <v>0</v>
      </c>
      <c r="I22" s="4"/>
    </row>
    <row r="23" spans="1:13" x14ac:dyDescent="0.25">
      <c r="A23" s="4" t="s">
        <v>15</v>
      </c>
      <c r="B23" s="27"/>
      <c r="C23" s="119"/>
      <c r="D23" s="8"/>
      <c r="E23" s="36"/>
      <c r="F23" s="39"/>
      <c r="G23" s="39"/>
      <c r="H23" s="39"/>
      <c r="I23" s="6"/>
    </row>
    <row r="24" spans="1:13" x14ac:dyDescent="0.25">
      <c r="A24" s="2" t="s">
        <v>236</v>
      </c>
      <c r="B24" s="24">
        <v>2</v>
      </c>
      <c r="C24" s="119" t="s">
        <v>14</v>
      </c>
      <c r="D24" s="14">
        <v>12.05</v>
      </c>
      <c r="E24" s="34">
        <v>0.33</v>
      </c>
      <c r="F24" s="39">
        <f t="shared" ref="F24:F38" si="0">D24*B24</f>
        <v>24.1</v>
      </c>
      <c r="G24" s="39">
        <f t="shared" ref="G24:G46" si="1">F24*(1-E24)</f>
        <v>16.146999999999998</v>
      </c>
      <c r="H24" s="39">
        <f t="shared" ref="H24:H46" si="2">F24*E24</f>
        <v>7.9530000000000012</v>
      </c>
      <c r="I24" s="21"/>
    </row>
    <row r="25" spans="1:13" x14ac:dyDescent="0.25">
      <c r="A25" s="7" t="s">
        <v>43</v>
      </c>
      <c r="B25" s="24">
        <v>1</v>
      </c>
      <c r="C25" s="119" t="s">
        <v>14</v>
      </c>
      <c r="D25" s="14">
        <v>0</v>
      </c>
      <c r="E25" s="34">
        <v>0.33</v>
      </c>
      <c r="F25" s="39">
        <f t="shared" si="0"/>
        <v>0</v>
      </c>
      <c r="G25" s="39">
        <f t="shared" si="1"/>
        <v>0</v>
      </c>
      <c r="H25" s="39">
        <f t="shared" si="2"/>
        <v>0</v>
      </c>
      <c r="I25" s="21"/>
    </row>
    <row r="26" spans="1:13" x14ac:dyDescent="0.25">
      <c r="A26" s="2" t="s">
        <v>237</v>
      </c>
      <c r="B26" s="24">
        <v>0.5</v>
      </c>
      <c r="C26" s="119" t="s">
        <v>14</v>
      </c>
      <c r="D26" s="14">
        <v>9</v>
      </c>
      <c r="E26" s="34">
        <v>0.33</v>
      </c>
      <c r="F26" s="39">
        <f t="shared" si="0"/>
        <v>4.5</v>
      </c>
      <c r="G26" s="39">
        <f t="shared" si="1"/>
        <v>3.0149999999999997</v>
      </c>
      <c r="H26" s="39">
        <f t="shared" si="2"/>
        <v>1.4850000000000001</v>
      </c>
      <c r="I26" s="21"/>
      <c r="J26" s="8"/>
      <c r="K26" s="4"/>
      <c r="L26" s="4"/>
      <c r="M26" s="4"/>
    </row>
    <row r="27" spans="1:13" x14ac:dyDescent="0.25">
      <c r="A27" s="7" t="s">
        <v>47</v>
      </c>
      <c r="B27" s="29">
        <f>$B$9</f>
        <v>60</v>
      </c>
      <c r="C27" s="119" t="s">
        <v>46</v>
      </c>
      <c r="D27" s="14">
        <v>0.66</v>
      </c>
      <c r="E27" s="34">
        <v>0</v>
      </c>
      <c r="F27" s="39">
        <f t="shared" si="0"/>
        <v>39.6</v>
      </c>
      <c r="G27" s="39">
        <f t="shared" si="1"/>
        <v>39.6</v>
      </c>
      <c r="H27" s="39">
        <f t="shared" si="2"/>
        <v>0</v>
      </c>
      <c r="I27" s="21"/>
      <c r="J27" s="8"/>
      <c r="K27" s="4"/>
      <c r="L27" s="4"/>
      <c r="M27" s="4"/>
    </row>
    <row r="28" spans="1:13" x14ac:dyDescent="0.25">
      <c r="A28" s="7" t="s">
        <v>49</v>
      </c>
      <c r="B28" s="24">
        <v>1</v>
      </c>
      <c r="C28" s="119" t="s">
        <v>14</v>
      </c>
      <c r="D28" s="14">
        <v>0</v>
      </c>
      <c r="E28" s="34">
        <v>0</v>
      </c>
      <c r="F28" s="39">
        <f t="shared" si="0"/>
        <v>0</v>
      </c>
      <c r="G28" s="39">
        <f t="shared" si="1"/>
        <v>0</v>
      </c>
      <c r="H28" s="39">
        <f t="shared" si="2"/>
        <v>0</v>
      </c>
      <c r="I28" s="21"/>
      <c r="J28" s="8"/>
      <c r="K28" s="4"/>
      <c r="L28" s="4"/>
      <c r="M28" s="4"/>
    </row>
    <row r="29" spans="1:13" x14ac:dyDescent="0.25">
      <c r="A29" s="2" t="s">
        <v>21</v>
      </c>
      <c r="B29" s="24">
        <v>1</v>
      </c>
      <c r="C29" s="119" t="s">
        <v>14</v>
      </c>
      <c r="D29" s="14">
        <v>0</v>
      </c>
      <c r="E29" s="34">
        <v>0</v>
      </c>
      <c r="F29" s="39">
        <f>D29*B29</f>
        <v>0</v>
      </c>
      <c r="G29" s="39">
        <f>F29*(1-E29)</f>
        <v>0</v>
      </c>
      <c r="H29" s="39">
        <f>F29*E29</f>
        <v>0</v>
      </c>
      <c r="I29" s="21"/>
      <c r="J29" s="8"/>
      <c r="K29" s="4"/>
      <c r="L29" s="4"/>
      <c r="M29" s="4"/>
    </row>
    <row r="30" spans="1:13" x14ac:dyDescent="0.25">
      <c r="A30" s="291" t="s">
        <v>40</v>
      </c>
      <c r="B30" s="24">
        <v>1</v>
      </c>
      <c r="C30" s="271" t="s">
        <v>14</v>
      </c>
      <c r="D30" s="14">
        <v>0</v>
      </c>
      <c r="E30" s="34">
        <v>0</v>
      </c>
      <c r="F30" s="39">
        <f t="shared" si="0"/>
        <v>0</v>
      </c>
      <c r="G30" s="39">
        <f t="shared" si="1"/>
        <v>0</v>
      </c>
      <c r="H30" s="39">
        <f t="shared" si="2"/>
        <v>0</v>
      </c>
      <c r="I30" s="21"/>
      <c r="J30" s="8"/>
      <c r="K30" s="4"/>
      <c r="L30" s="4"/>
      <c r="M30" s="4"/>
    </row>
    <row r="31" spans="1:13" x14ac:dyDescent="0.25">
      <c r="A31" s="16" t="s">
        <v>40</v>
      </c>
      <c r="B31" s="24">
        <v>1</v>
      </c>
      <c r="C31" s="265" t="s">
        <v>14</v>
      </c>
      <c r="D31" s="14">
        <v>0</v>
      </c>
      <c r="E31" s="34">
        <v>0</v>
      </c>
      <c r="F31" s="39">
        <f t="shared" si="0"/>
        <v>0</v>
      </c>
      <c r="G31" s="39">
        <f t="shared" si="1"/>
        <v>0</v>
      </c>
      <c r="H31" s="39">
        <f t="shared" si="2"/>
        <v>0</v>
      </c>
      <c r="I31" s="21"/>
      <c r="J31" s="8"/>
      <c r="K31" s="4"/>
      <c r="L31" s="4"/>
      <c r="M31" s="4"/>
    </row>
    <row r="32" spans="1:13" x14ac:dyDescent="0.25">
      <c r="A32" s="16" t="s">
        <v>40</v>
      </c>
      <c r="B32" s="24">
        <v>1</v>
      </c>
      <c r="C32" s="265" t="s">
        <v>14</v>
      </c>
      <c r="D32" s="14">
        <v>0</v>
      </c>
      <c r="E32" s="34">
        <v>0</v>
      </c>
      <c r="F32" s="39">
        <f t="shared" si="0"/>
        <v>0</v>
      </c>
      <c r="G32" s="39">
        <f t="shared" si="1"/>
        <v>0</v>
      </c>
      <c r="H32" s="39">
        <f t="shared" si="2"/>
        <v>0</v>
      </c>
      <c r="I32" s="21"/>
      <c r="J32" s="8"/>
      <c r="K32" s="4"/>
      <c r="L32" s="4"/>
      <c r="M32" s="4"/>
    </row>
    <row r="33" spans="1:13" x14ac:dyDescent="0.25">
      <c r="A33" s="4" t="s">
        <v>22</v>
      </c>
      <c r="B33" s="24">
        <v>1</v>
      </c>
      <c r="C33" s="119" t="s">
        <v>14</v>
      </c>
      <c r="D33" s="14">
        <v>37</v>
      </c>
      <c r="E33" s="34">
        <v>0.33</v>
      </c>
      <c r="F33" s="39">
        <f t="shared" si="0"/>
        <v>37</v>
      </c>
      <c r="G33" s="39">
        <f t="shared" si="1"/>
        <v>24.79</v>
      </c>
      <c r="H33" s="39">
        <f t="shared" si="2"/>
        <v>12.21</v>
      </c>
      <c r="I33" s="21"/>
      <c r="J33" s="8"/>
      <c r="K33" s="4"/>
      <c r="L33" s="4"/>
      <c r="M33" s="4"/>
    </row>
    <row r="34" spans="1:13" x14ac:dyDescent="0.25">
      <c r="A34" s="4" t="s">
        <v>140</v>
      </c>
      <c r="B34" s="28">
        <v>0.71499999999999997</v>
      </c>
      <c r="C34" s="119" t="s">
        <v>48</v>
      </c>
      <c r="D34" s="55">
        <f>'Universal Input Prices'!$B$31</f>
        <v>12.45</v>
      </c>
      <c r="E34" s="34">
        <v>0</v>
      </c>
      <c r="F34" s="39">
        <f t="shared" si="0"/>
        <v>8.9017499999999998</v>
      </c>
      <c r="G34" s="39">
        <f t="shared" si="1"/>
        <v>8.9017499999999998</v>
      </c>
      <c r="H34" s="39">
        <f t="shared" si="2"/>
        <v>0</v>
      </c>
      <c r="I34" s="21"/>
      <c r="J34" s="8"/>
      <c r="K34" s="4"/>
      <c r="L34" s="4"/>
      <c r="M34" s="4"/>
    </row>
    <row r="35" spans="1:13" x14ac:dyDescent="0.25">
      <c r="A35" s="4" t="s">
        <v>24</v>
      </c>
      <c r="B35" s="28">
        <v>0.89600000000000002</v>
      </c>
      <c r="C35" s="119" t="s">
        <v>23</v>
      </c>
      <c r="D35" s="55">
        <f>'Universal Input Prices'!$B$31</f>
        <v>12.45</v>
      </c>
      <c r="E35" s="34">
        <v>0</v>
      </c>
      <c r="F35" s="39">
        <f t="shared" si="0"/>
        <v>11.155199999999999</v>
      </c>
      <c r="G35" s="39">
        <f t="shared" si="1"/>
        <v>11.155199999999999</v>
      </c>
      <c r="H35" s="39">
        <f t="shared" si="2"/>
        <v>0</v>
      </c>
      <c r="I35" s="21"/>
      <c r="J35" s="8"/>
      <c r="K35" s="4"/>
      <c r="L35" s="4"/>
      <c r="M35" s="4"/>
    </row>
    <row r="36" spans="1:13" x14ac:dyDescent="0.25">
      <c r="A36" s="4" t="s">
        <v>25</v>
      </c>
      <c r="B36" s="28">
        <v>2</v>
      </c>
      <c r="C36" s="119" t="s">
        <v>26</v>
      </c>
      <c r="D36" s="55">
        <f>'Universal Input Prices'!$B$32</f>
        <v>1.81</v>
      </c>
      <c r="E36" s="34">
        <v>0</v>
      </c>
      <c r="F36" s="39">
        <f t="shared" si="0"/>
        <v>3.62</v>
      </c>
      <c r="G36" s="39">
        <f t="shared" si="1"/>
        <v>3.62</v>
      </c>
      <c r="H36" s="39">
        <f t="shared" si="2"/>
        <v>0</v>
      </c>
      <c r="I36" s="21"/>
      <c r="J36" s="8"/>
      <c r="K36" s="4"/>
      <c r="L36" s="4"/>
      <c r="M36" s="4"/>
    </row>
    <row r="37" spans="1:13" x14ac:dyDescent="0.25">
      <c r="A37" s="4" t="s">
        <v>27</v>
      </c>
      <c r="B37" s="28">
        <v>2.0489999999999999</v>
      </c>
      <c r="C37" s="119" t="s">
        <v>26</v>
      </c>
      <c r="D37" s="55">
        <f>'Universal Input Prices'!$B$33</f>
        <v>1.9259999999999999</v>
      </c>
      <c r="E37" s="34">
        <v>0</v>
      </c>
      <c r="F37" s="39">
        <f t="shared" si="0"/>
        <v>3.9463739999999996</v>
      </c>
      <c r="G37" s="39">
        <f t="shared" si="1"/>
        <v>3.9463739999999996</v>
      </c>
      <c r="H37" s="39">
        <f t="shared" si="2"/>
        <v>0</v>
      </c>
      <c r="I37" s="21"/>
      <c r="J37" s="8"/>
      <c r="K37" s="4"/>
      <c r="L37" s="4"/>
      <c r="M37" s="4"/>
    </row>
    <row r="38" spans="1:13" x14ac:dyDescent="0.25">
      <c r="A38" s="4" t="s">
        <v>28</v>
      </c>
      <c r="B38" s="28">
        <v>14</v>
      </c>
      <c r="C38" s="119" t="s">
        <v>29</v>
      </c>
      <c r="D38" s="55">
        <f>'Universal Input Prices'!$B$34</f>
        <v>3.6</v>
      </c>
      <c r="E38" s="34">
        <v>0.33</v>
      </c>
      <c r="F38" s="39">
        <f t="shared" si="0"/>
        <v>50.4</v>
      </c>
      <c r="G38" s="39">
        <f t="shared" si="1"/>
        <v>33.767999999999994</v>
      </c>
      <c r="H38" s="39">
        <f t="shared" si="2"/>
        <v>16.632000000000001</v>
      </c>
      <c r="I38" s="21"/>
      <c r="J38" s="8"/>
      <c r="K38" s="4"/>
      <c r="L38" s="4"/>
      <c r="M38" s="4"/>
    </row>
    <row r="39" spans="1:13" hidden="1" x14ac:dyDescent="0.25">
      <c r="A39" s="4" t="s">
        <v>248</v>
      </c>
      <c r="B39" s="28">
        <v>67.88</v>
      </c>
      <c r="C39" s="119"/>
      <c r="D39" s="55"/>
      <c r="E39" s="34"/>
      <c r="F39" s="39"/>
      <c r="G39" s="39"/>
      <c r="H39" s="39"/>
      <c r="I39" s="4"/>
    </row>
    <row r="40" spans="1:13" hidden="1" x14ac:dyDescent="0.25">
      <c r="A40" s="4" t="s">
        <v>249</v>
      </c>
      <c r="B40" s="48">
        <f>B38*18.85694/B39</f>
        <v>3.8891744254566887</v>
      </c>
      <c r="C40" s="119"/>
      <c r="D40" s="55"/>
      <c r="E40" s="34"/>
      <c r="F40" s="39"/>
      <c r="G40" s="39"/>
      <c r="H40" s="39"/>
      <c r="I40" s="4"/>
    </row>
    <row r="41" spans="1:13" x14ac:dyDescent="0.25">
      <c r="A41" s="4" t="s">
        <v>30</v>
      </c>
      <c r="B41" s="5"/>
      <c r="C41" s="119"/>
      <c r="D41" s="15"/>
      <c r="E41" s="36"/>
      <c r="F41" s="39"/>
      <c r="G41" s="39">
        <f t="shared" si="1"/>
        <v>0</v>
      </c>
      <c r="H41" s="39">
        <f t="shared" si="2"/>
        <v>0</v>
      </c>
      <c r="I41" s="6"/>
      <c r="J41" s="8"/>
      <c r="K41" s="4"/>
      <c r="L41" s="4"/>
      <c r="M41" s="4"/>
    </row>
    <row r="42" spans="1:13" x14ac:dyDescent="0.25">
      <c r="A42" s="7" t="s">
        <v>31</v>
      </c>
      <c r="B42" s="5">
        <v>1</v>
      </c>
      <c r="C42" s="119" t="s">
        <v>14</v>
      </c>
      <c r="D42" s="14">
        <v>12.7</v>
      </c>
      <c r="E42" s="34">
        <v>0</v>
      </c>
      <c r="F42" s="39">
        <f>D42*B42</f>
        <v>12.7</v>
      </c>
      <c r="G42" s="39">
        <f t="shared" si="1"/>
        <v>12.7</v>
      </c>
      <c r="H42" s="39">
        <f t="shared" si="2"/>
        <v>0</v>
      </c>
      <c r="I42" s="21"/>
      <c r="J42" s="6"/>
      <c r="K42" s="4"/>
      <c r="L42" s="4"/>
      <c r="M42" s="4"/>
    </row>
    <row r="43" spans="1:13" x14ac:dyDescent="0.25">
      <c r="A43" s="7" t="s">
        <v>2</v>
      </c>
      <c r="B43" s="5">
        <v>1</v>
      </c>
      <c r="C43" s="119" t="s">
        <v>14</v>
      </c>
      <c r="D43" s="14">
        <v>3.86</v>
      </c>
      <c r="E43" s="34">
        <v>0</v>
      </c>
      <c r="F43" s="39">
        <f>D43*B43</f>
        <v>3.86</v>
      </c>
      <c r="G43" s="39">
        <f t="shared" si="1"/>
        <v>3.86</v>
      </c>
      <c r="H43" s="39">
        <f t="shared" si="2"/>
        <v>0</v>
      </c>
      <c r="I43" s="21"/>
      <c r="J43" s="8"/>
      <c r="K43" s="4"/>
      <c r="L43" s="4"/>
      <c r="M43" s="4"/>
    </row>
    <row r="44" spans="1:13" x14ac:dyDescent="0.25">
      <c r="A44" s="7" t="s">
        <v>32</v>
      </c>
      <c r="B44" s="5">
        <f>B38</f>
        <v>14</v>
      </c>
      <c r="C44" s="119" t="s">
        <v>29</v>
      </c>
      <c r="D44" s="14">
        <v>4.04</v>
      </c>
      <c r="E44" s="34">
        <v>0</v>
      </c>
      <c r="F44" s="39">
        <f>D44*B44</f>
        <v>56.56</v>
      </c>
      <c r="G44" s="39">
        <f t="shared" si="1"/>
        <v>56.56</v>
      </c>
      <c r="H44" s="39">
        <f t="shared" si="2"/>
        <v>0</v>
      </c>
      <c r="I44" s="21"/>
      <c r="J44" s="8"/>
      <c r="K44" s="4"/>
      <c r="L44" s="4"/>
      <c r="M44" s="4"/>
    </row>
    <row r="45" spans="1:13" x14ac:dyDescent="0.25">
      <c r="A45" s="7" t="s">
        <v>204</v>
      </c>
      <c r="B45" s="5">
        <v>1</v>
      </c>
      <c r="C45" s="119" t="s">
        <v>14</v>
      </c>
      <c r="D45" s="14">
        <v>0</v>
      </c>
      <c r="E45" s="34">
        <v>1</v>
      </c>
      <c r="F45" s="39">
        <f>D45*B45</f>
        <v>0</v>
      </c>
      <c r="G45" s="39">
        <f t="shared" si="1"/>
        <v>0</v>
      </c>
      <c r="H45" s="39">
        <f t="shared" si="2"/>
        <v>0</v>
      </c>
      <c r="I45" s="21"/>
      <c r="J45" s="8"/>
      <c r="K45" s="4"/>
      <c r="L45" s="4"/>
      <c r="M45" s="4"/>
    </row>
    <row r="46" spans="1:13" x14ac:dyDescent="0.25">
      <c r="A46" s="7" t="s">
        <v>33</v>
      </c>
      <c r="B46" s="5">
        <v>1</v>
      </c>
      <c r="C46" s="119" t="s">
        <v>14</v>
      </c>
      <c r="D46" s="14">
        <v>2.5099999999999998</v>
      </c>
      <c r="E46" s="34">
        <v>0</v>
      </c>
      <c r="F46" s="39">
        <f>D46*B46</f>
        <v>2.5099999999999998</v>
      </c>
      <c r="G46" s="39">
        <f t="shared" si="1"/>
        <v>2.5099999999999998</v>
      </c>
      <c r="H46" s="39">
        <f t="shared" si="2"/>
        <v>0</v>
      </c>
      <c r="I46" s="21"/>
      <c r="J46" s="8"/>
      <c r="K46" s="4"/>
      <c r="L46" s="4"/>
      <c r="M46" s="4"/>
    </row>
    <row r="47" spans="1:13" x14ac:dyDescent="0.25">
      <c r="A47" s="4" t="s">
        <v>34</v>
      </c>
      <c r="B47" s="89">
        <f>'Universal Input Prices'!$B$35</f>
        <v>5.3999999999999999E-2</v>
      </c>
      <c r="C47" s="119"/>
      <c r="D47" s="22"/>
      <c r="E47" s="36"/>
      <c r="F47" s="158">
        <f>(SUM(F16:F26,F28:F46))*$B47/2.7</f>
        <v>6.4250664799999999</v>
      </c>
      <c r="G47" s="158">
        <f t="shared" ref="G47:H47" si="3">(SUM(G16:G26,G28:G46))*$B47/2</f>
        <v>7.4518332480000007</v>
      </c>
      <c r="H47" s="158">
        <f t="shared" si="3"/>
        <v>1.2220065</v>
      </c>
      <c r="I47" s="21"/>
      <c r="J47" s="8"/>
      <c r="K47" s="4"/>
      <c r="L47" s="4"/>
      <c r="M47" s="4"/>
    </row>
    <row r="48" spans="1:13" x14ac:dyDescent="0.25">
      <c r="A48" s="4"/>
      <c r="B48" s="10"/>
      <c r="C48" s="119"/>
      <c r="D48" s="8"/>
      <c r="E48" s="36"/>
      <c r="F48" s="39"/>
      <c r="G48" s="39"/>
      <c r="H48" s="39"/>
      <c r="I48" s="6"/>
      <c r="J48" s="8"/>
      <c r="K48" s="4"/>
      <c r="L48" s="4"/>
      <c r="M48" s="4"/>
    </row>
    <row r="49" spans="1:13" x14ac:dyDescent="0.25">
      <c r="A49" s="4" t="s">
        <v>205</v>
      </c>
      <c r="B49" s="10"/>
      <c r="C49" s="119"/>
      <c r="D49" s="8"/>
      <c r="E49" s="36"/>
      <c r="F49" s="39">
        <f>SUM(F16:F47)</f>
        <v>367.27839047999998</v>
      </c>
      <c r="G49" s="39">
        <f>SUM(G16:G47)</f>
        <v>323.045657248</v>
      </c>
      <c r="H49" s="39">
        <f>SUM(H16:H47)</f>
        <v>46.481506500000002</v>
      </c>
      <c r="I49" s="11"/>
      <c r="J49" s="6"/>
      <c r="K49" s="4"/>
      <c r="L49" s="4"/>
      <c r="M49" s="4"/>
    </row>
    <row r="50" spans="1:13" ht="13.8" x14ac:dyDescent="0.25">
      <c r="A50" s="12" t="s">
        <v>206</v>
      </c>
      <c r="B50" s="10"/>
      <c r="C50" s="119"/>
      <c r="D50" s="8"/>
      <c r="E50" s="36"/>
      <c r="F50" s="72">
        <f>F12-F49</f>
        <v>136.72160952000002</v>
      </c>
      <c r="G50" s="72">
        <f>G12-G49</f>
        <v>14.634342751999952</v>
      </c>
      <c r="H50" s="72">
        <f>H12-H49</f>
        <v>119.83849350000003</v>
      </c>
      <c r="I50" s="11"/>
      <c r="J50" s="8"/>
      <c r="K50" s="4"/>
      <c r="L50" s="4"/>
      <c r="M50" s="4"/>
    </row>
    <row r="51" spans="1:13" x14ac:dyDescent="0.25">
      <c r="A51" s="4"/>
      <c r="B51" s="10"/>
      <c r="C51" s="119"/>
      <c r="D51" s="8"/>
      <c r="E51" s="36"/>
      <c r="F51" s="39"/>
      <c r="G51" s="39"/>
      <c r="H51" s="39"/>
      <c r="I51" s="11"/>
      <c r="J51" s="8"/>
      <c r="K51" s="4"/>
      <c r="L51" s="4"/>
      <c r="M51" s="4"/>
    </row>
    <row r="52" spans="1:13" x14ac:dyDescent="0.25">
      <c r="A52" s="4" t="s">
        <v>208</v>
      </c>
      <c r="B52" s="10"/>
      <c r="C52" s="119"/>
      <c r="D52" s="8"/>
      <c r="E52" s="36"/>
      <c r="F52" s="39"/>
      <c r="G52" s="39"/>
      <c r="H52" s="39"/>
      <c r="I52" s="11"/>
      <c r="J52" s="8"/>
      <c r="K52" s="4"/>
      <c r="L52" s="4"/>
      <c r="M52" s="4"/>
    </row>
    <row r="53" spans="1:13" x14ac:dyDescent="0.25">
      <c r="A53" s="7" t="s">
        <v>31</v>
      </c>
      <c r="B53" s="5">
        <v>1</v>
      </c>
      <c r="C53" s="119" t="s">
        <v>14</v>
      </c>
      <c r="D53" s="14">
        <v>20.09</v>
      </c>
      <c r="E53" s="34">
        <v>0</v>
      </c>
      <c r="F53" s="39">
        <f t="shared" ref="F53:F61" si="4">D53*B53</f>
        <v>20.09</v>
      </c>
      <c r="G53" s="39">
        <f t="shared" ref="G53:G61" si="5">F53*(1-E53)</f>
        <v>20.09</v>
      </c>
      <c r="H53" s="39">
        <f t="shared" ref="H53:H61" si="6">F53*E53</f>
        <v>0</v>
      </c>
      <c r="I53" s="21"/>
      <c r="J53" s="6"/>
      <c r="K53" s="4"/>
      <c r="L53" s="4"/>
      <c r="M53" s="4"/>
    </row>
    <row r="54" spans="1:13" x14ac:dyDescent="0.25">
      <c r="A54" s="7" t="s">
        <v>2</v>
      </c>
      <c r="B54" s="5">
        <v>1</v>
      </c>
      <c r="C54" s="119" t="s">
        <v>14</v>
      </c>
      <c r="D54" s="14">
        <v>5.41</v>
      </c>
      <c r="E54" s="34">
        <v>0</v>
      </c>
      <c r="F54" s="39">
        <f t="shared" si="4"/>
        <v>5.41</v>
      </c>
      <c r="G54" s="39">
        <f t="shared" si="5"/>
        <v>5.41</v>
      </c>
      <c r="H54" s="39">
        <f t="shared" si="6"/>
        <v>0</v>
      </c>
      <c r="I54" s="21"/>
      <c r="J54" s="8"/>
      <c r="K54" s="4"/>
      <c r="L54" s="4"/>
      <c r="M54" s="4"/>
    </row>
    <row r="55" spans="1:13" x14ac:dyDescent="0.25">
      <c r="A55" s="2" t="s">
        <v>273</v>
      </c>
      <c r="B55" s="5">
        <v>1</v>
      </c>
      <c r="C55" s="119" t="s">
        <v>14</v>
      </c>
      <c r="D55" s="14">
        <v>40.42</v>
      </c>
      <c r="E55" s="34">
        <v>0</v>
      </c>
      <c r="F55" s="39">
        <f t="shared" si="4"/>
        <v>40.42</v>
      </c>
      <c r="G55" s="39">
        <f t="shared" si="5"/>
        <v>40.42</v>
      </c>
      <c r="H55" s="39">
        <f t="shared" si="6"/>
        <v>0</v>
      </c>
      <c r="I55" s="21"/>
      <c r="J55" s="8"/>
      <c r="K55" s="4"/>
      <c r="L55" s="4"/>
      <c r="M55" s="4"/>
    </row>
    <row r="56" spans="1:13" x14ac:dyDescent="0.25">
      <c r="A56" s="7" t="s">
        <v>204</v>
      </c>
      <c r="B56" s="5">
        <v>1</v>
      </c>
      <c r="C56" s="119" t="s">
        <v>14</v>
      </c>
      <c r="D56" s="14">
        <v>0</v>
      </c>
      <c r="E56" s="34">
        <v>1</v>
      </c>
      <c r="F56" s="39">
        <f t="shared" si="4"/>
        <v>0</v>
      </c>
      <c r="G56" s="39">
        <f t="shared" si="5"/>
        <v>0</v>
      </c>
      <c r="H56" s="39">
        <f t="shared" si="6"/>
        <v>0</v>
      </c>
      <c r="I56" s="21"/>
      <c r="J56" s="8"/>
      <c r="K56" s="4"/>
      <c r="L56" s="4"/>
      <c r="M56" s="4"/>
    </row>
    <row r="57" spans="1:13" x14ac:dyDescent="0.25">
      <c r="A57" s="7" t="s">
        <v>33</v>
      </c>
      <c r="B57" s="5">
        <v>1</v>
      </c>
      <c r="C57" s="119" t="s">
        <v>14</v>
      </c>
      <c r="D57" s="14">
        <v>3.66</v>
      </c>
      <c r="E57" s="34">
        <v>0</v>
      </c>
      <c r="F57" s="39">
        <f t="shared" si="4"/>
        <v>3.66</v>
      </c>
      <c r="G57" s="39">
        <f t="shared" si="5"/>
        <v>3.66</v>
      </c>
      <c r="H57" s="39">
        <f t="shared" si="6"/>
        <v>0</v>
      </c>
      <c r="I57" s="21"/>
      <c r="J57" s="8"/>
      <c r="K57" s="4"/>
      <c r="L57" s="4"/>
      <c r="M57" s="4"/>
    </row>
    <row r="58" spans="1:13" x14ac:dyDescent="0.25">
      <c r="A58" s="7" t="s">
        <v>35</v>
      </c>
      <c r="B58" s="5">
        <v>1</v>
      </c>
      <c r="C58" s="119" t="s">
        <v>14</v>
      </c>
      <c r="D58" s="14">
        <v>0</v>
      </c>
      <c r="E58" s="34">
        <v>0</v>
      </c>
      <c r="F58" s="39">
        <f t="shared" si="4"/>
        <v>0</v>
      </c>
      <c r="G58" s="39">
        <f t="shared" si="5"/>
        <v>0</v>
      </c>
      <c r="H58" s="39">
        <f t="shared" si="6"/>
        <v>0</v>
      </c>
      <c r="I58" s="21"/>
      <c r="J58" s="8"/>
      <c r="K58" s="4"/>
      <c r="L58" s="4"/>
      <c r="M58" s="4"/>
    </row>
    <row r="59" spans="1:13" x14ac:dyDescent="0.25">
      <c r="A59" s="2" t="s">
        <v>272</v>
      </c>
      <c r="B59" s="5">
        <v>1</v>
      </c>
      <c r="C59" s="119" t="s">
        <v>14</v>
      </c>
      <c r="D59" s="14">
        <v>29.44</v>
      </c>
      <c r="E59" s="34">
        <v>0</v>
      </c>
      <c r="F59" s="39">
        <f t="shared" si="4"/>
        <v>29.44</v>
      </c>
      <c r="G59" s="39">
        <f t="shared" si="5"/>
        <v>29.44</v>
      </c>
      <c r="H59" s="39">
        <f t="shared" si="6"/>
        <v>0</v>
      </c>
      <c r="I59" s="65"/>
      <c r="J59" s="8"/>
      <c r="K59" s="4"/>
      <c r="L59" s="4"/>
      <c r="M59" s="4"/>
    </row>
    <row r="60" spans="1:13" x14ac:dyDescent="0.25">
      <c r="A60" s="7" t="s">
        <v>36</v>
      </c>
      <c r="B60" s="43">
        <v>1</v>
      </c>
      <c r="C60" s="119" t="s">
        <v>14</v>
      </c>
      <c r="D60" s="14">
        <v>72</v>
      </c>
      <c r="E60" s="34">
        <v>1</v>
      </c>
      <c r="F60" s="39">
        <f t="shared" si="4"/>
        <v>72</v>
      </c>
      <c r="G60" s="39">
        <f>IF($H$6="Cash",D60,F60*(1-E60))</f>
        <v>0</v>
      </c>
      <c r="H60" s="39">
        <f>IF($H$6="Cash",0,F60*E60)</f>
        <v>72</v>
      </c>
      <c r="I60" s="21"/>
      <c r="J60" s="8"/>
      <c r="K60" s="4"/>
      <c r="L60" s="4"/>
      <c r="M60" s="4"/>
    </row>
    <row r="61" spans="1:13" x14ac:dyDescent="0.25">
      <c r="A61" s="7" t="s">
        <v>42</v>
      </c>
      <c r="B61" s="43">
        <v>1</v>
      </c>
      <c r="C61" s="119" t="s">
        <v>14</v>
      </c>
      <c r="D61" s="14">
        <v>0</v>
      </c>
      <c r="E61" s="34">
        <v>1</v>
      </c>
      <c r="F61" s="39">
        <f t="shared" si="4"/>
        <v>0</v>
      </c>
      <c r="G61" s="39">
        <f t="shared" si="5"/>
        <v>0</v>
      </c>
      <c r="H61" s="39">
        <f t="shared" si="6"/>
        <v>0</v>
      </c>
      <c r="I61" s="65"/>
      <c r="J61" s="8"/>
      <c r="K61" s="4"/>
      <c r="L61" s="4"/>
      <c r="M61" s="4"/>
    </row>
    <row r="62" spans="1:13" x14ac:dyDescent="0.25">
      <c r="A62" s="4" t="s">
        <v>37</v>
      </c>
      <c r="B62" s="5"/>
      <c r="C62" s="119"/>
      <c r="D62" s="10"/>
      <c r="E62" s="36"/>
      <c r="F62" s="39">
        <f>SUM(F53:F61)</f>
        <v>171.01999999999998</v>
      </c>
      <c r="G62" s="39">
        <f>SUM(G53:G61)</f>
        <v>99.02</v>
      </c>
      <c r="H62" s="39">
        <f>SUM(H53:H61)</f>
        <v>72</v>
      </c>
      <c r="I62" s="6"/>
      <c r="J62" s="8"/>
      <c r="K62" s="4"/>
      <c r="L62" s="4"/>
      <c r="M62" s="4"/>
    </row>
    <row r="63" spans="1:13" x14ac:dyDescent="0.25">
      <c r="A63" s="4" t="s">
        <v>38</v>
      </c>
      <c r="B63" s="5"/>
      <c r="C63" s="119"/>
      <c r="D63" s="10"/>
      <c r="E63" s="36"/>
      <c r="F63" s="39">
        <f>F49+F62</f>
        <v>538.29839047999997</v>
      </c>
      <c r="G63" s="39">
        <f>G49+G62</f>
        <v>422.06565724799998</v>
      </c>
      <c r="H63" s="39">
        <f>H49+H62</f>
        <v>118.48150649999999</v>
      </c>
      <c r="I63" s="6"/>
      <c r="J63" s="8"/>
      <c r="K63" s="4"/>
      <c r="L63" s="4"/>
      <c r="M63" s="4"/>
    </row>
    <row r="64" spans="1:13" ht="13.8" x14ac:dyDescent="0.25">
      <c r="A64" s="12" t="s">
        <v>39</v>
      </c>
      <c r="B64" s="31"/>
      <c r="C64" s="141"/>
      <c r="D64" s="30"/>
      <c r="E64" s="73"/>
      <c r="F64" s="72">
        <f>F12-F63</f>
        <v>-34.298390479999966</v>
      </c>
      <c r="G64" s="72">
        <f>G12-G63</f>
        <v>-84.38565724800003</v>
      </c>
      <c r="H64" s="72">
        <f>H12-H63</f>
        <v>47.838493500000027</v>
      </c>
      <c r="I64" s="6"/>
      <c r="J64" s="8"/>
      <c r="K64" s="4"/>
      <c r="L64" s="4"/>
      <c r="M64" s="4"/>
    </row>
    <row r="65" spans="1:13" x14ac:dyDescent="0.25">
      <c r="A65" s="4"/>
      <c r="B65" s="5"/>
      <c r="C65" s="5"/>
      <c r="D65" s="10"/>
      <c r="E65" s="36"/>
      <c r="F65" s="8"/>
      <c r="G65" s="8"/>
      <c r="H65" s="8"/>
      <c r="I65" s="6"/>
      <c r="J65" s="8"/>
      <c r="K65" s="4"/>
      <c r="L65" s="4"/>
      <c r="M65" s="4"/>
    </row>
    <row r="66" spans="1:13" ht="13.8" x14ac:dyDescent="0.25">
      <c r="A66" s="113" t="s">
        <v>161</v>
      </c>
      <c r="B66" s="113"/>
      <c r="C66" s="113"/>
      <c r="D66" s="113"/>
      <c r="E66" s="114"/>
      <c r="F66" s="115">
        <f>(F64/F63)</f>
        <v>-6.3716316241287915E-2</v>
      </c>
      <c r="G66" s="115">
        <f t="shared" ref="G66:H66" si="7">(G64/G63)</f>
        <v>-0.19993490538467615</v>
      </c>
      <c r="H66" s="115">
        <f t="shared" si="7"/>
        <v>0.40376337973049009</v>
      </c>
      <c r="I66" s="4"/>
      <c r="J66" s="8"/>
      <c r="K66" s="4"/>
      <c r="L66" s="4"/>
      <c r="M66" s="4"/>
    </row>
    <row r="67" spans="1:13" x14ac:dyDescent="0.25">
      <c r="B67" s="1"/>
      <c r="C67" s="41"/>
      <c r="D67" s="46"/>
      <c r="E67" s="36"/>
      <c r="F67" s="42"/>
      <c r="G67" s="42"/>
      <c r="H67" s="42"/>
      <c r="I67" s="64"/>
      <c r="J67" s="4"/>
      <c r="K67" s="4"/>
      <c r="L67" s="4"/>
      <c r="M67" s="4"/>
    </row>
    <row r="68" spans="1:13" x14ac:dyDescent="0.25">
      <c r="C68" s="4"/>
      <c r="D68" s="4"/>
      <c r="E68" s="36"/>
      <c r="F68" s="4"/>
      <c r="G68" s="4"/>
      <c r="H68" s="4"/>
      <c r="I68" s="4"/>
      <c r="J68" s="42"/>
      <c r="K68" s="4"/>
      <c r="L68" s="4"/>
      <c r="M68" s="4"/>
    </row>
    <row r="69" spans="1:13" x14ac:dyDescent="0.25">
      <c r="C69" s="4"/>
      <c r="D69" s="4"/>
      <c r="E69" s="36"/>
      <c r="F69" s="4"/>
      <c r="G69" s="4"/>
      <c r="H69" s="4"/>
      <c r="I69" s="4"/>
      <c r="J69" s="4"/>
      <c r="K69" s="4"/>
      <c r="L69" s="4"/>
      <c r="M69" s="4"/>
    </row>
    <row r="70" spans="1:13" x14ac:dyDescent="0.25">
      <c r="C70" s="4"/>
      <c r="D70" s="4"/>
      <c r="E70" s="10"/>
      <c r="F70" s="4"/>
      <c r="G70" s="4"/>
      <c r="H70" s="4"/>
      <c r="I70" s="4"/>
      <c r="J70" s="4"/>
      <c r="K70" s="4"/>
      <c r="L70" s="4"/>
      <c r="M70" s="4"/>
    </row>
    <row r="71" spans="1:13" x14ac:dyDescent="0.25">
      <c r="C71" s="4"/>
      <c r="D71" s="4"/>
      <c r="E71" s="10"/>
      <c r="F71" s="4"/>
      <c r="G71" s="4"/>
      <c r="H71" s="4"/>
      <c r="I71" s="4"/>
      <c r="J71" s="4"/>
      <c r="K71" s="4"/>
      <c r="L71" s="4"/>
      <c r="M71" s="4"/>
    </row>
    <row r="72" spans="1:13" x14ac:dyDescent="0.25">
      <c r="C72" s="4"/>
      <c r="D72" s="4"/>
      <c r="E72" s="10"/>
      <c r="F72" s="4"/>
      <c r="G72" s="4"/>
      <c r="H72" s="4"/>
      <c r="I72" s="4"/>
      <c r="J72" s="4"/>
      <c r="K72" s="4"/>
      <c r="L72" s="4"/>
      <c r="M72" s="4"/>
    </row>
    <row r="73" spans="1:13" x14ac:dyDescent="0.25">
      <c r="C73" s="4"/>
      <c r="D73" s="4"/>
      <c r="E73" s="4"/>
      <c r="F73" s="4"/>
      <c r="G73" s="4"/>
      <c r="H73" s="4"/>
      <c r="I73" s="4"/>
      <c r="J73" s="4"/>
      <c r="K73" s="4"/>
      <c r="L73" s="4"/>
      <c r="M73" s="4"/>
    </row>
    <row r="74" spans="1:13" x14ac:dyDescent="0.25">
      <c r="E74" s="46"/>
      <c r="I74" s="4"/>
      <c r="J74" s="4"/>
      <c r="K74" s="4"/>
      <c r="L74" s="4"/>
      <c r="M74" s="4"/>
    </row>
    <row r="75" spans="1:13" x14ac:dyDescent="0.25">
      <c r="I75" s="4"/>
      <c r="J75" s="4"/>
      <c r="K75" s="4"/>
      <c r="L75" s="4"/>
      <c r="M75" s="4"/>
    </row>
    <row r="76" spans="1:13" x14ac:dyDescent="0.25">
      <c r="I76" s="4"/>
      <c r="J76" s="4"/>
      <c r="K76" s="4"/>
      <c r="L76" s="4"/>
      <c r="M76" s="4"/>
    </row>
    <row r="77" spans="1:13" x14ac:dyDescent="0.25">
      <c r="I77" s="4"/>
      <c r="J77" s="4"/>
      <c r="K77" s="4"/>
      <c r="L77" s="4"/>
      <c r="M77" s="4"/>
    </row>
    <row r="78" spans="1:13" x14ac:dyDescent="0.25">
      <c r="I78" s="4"/>
      <c r="J78" s="4"/>
      <c r="K78" s="4"/>
      <c r="L78" s="4"/>
      <c r="M78" s="4"/>
    </row>
    <row r="79" spans="1:13" x14ac:dyDescent="0.25">
      <c r="J79" s="4"/>
      <c r="K79" s="4"/>
      <c r="L79" s="4"/>
      <c r="M79"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20:A22">
      <formula1>Fert_Names</formula1>
    </dataValidation>
  </dataValidations>
  <printOptions horizontalCentered="1"/>
  <pageMargins left="0.25" right="0.25" top="0.75" bottom="0.75" header="0.3" footer="0.3"/>
  <pageSetup scale="78"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R73"/>
  <sheetViews>
    <sheetView showGridLines="0" showRowColHeaders="0" zoomScale="90" zoomScaleNormal="90" workbookViewId="0">
      <pane ySplit="7" topLeftCell="A44" activePane="bottomLeft" state="frozen"/>
      <selection activeCell="B9" sqref="B9"/>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177</v>
      </c>
      <c r="B3" s="319"/>
      <c r="C3" s="319"/>
      <c r="D3" s="319"/>
      <c r="E3" s="319"/>
      <c r="F3" s="319"/>
      <c r="G3" s="319"/>
      <c r="H3" s="319"/>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53" t="s">
        <v>4</v>
      </c>
      <c r="C6" s="53" t="s">
        <v>5</v>
      </c>
      <c r="D6" s="53" t="s">
        <v>6</v>
      </c>
      <c r="E6" s="53" t="s">
        <v>53</v>
      </c>
      <c r="F6" s="244"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5"/>
      <c r="D8" s="5"/>
      <c r="E8" s="5"/>
      <c r="F8" s="5"/>
      <c r="G8" s="5"/>
      <c r="H8" s="5"/>
    </row>
    <row r="9" spans="1:18" x14ac:dyDescent="0.25">
      <c r="A9" s="7" t="s">
        <v>93</v>
      </c>
      <c r="B9" s="47">
        <v>18</v>
      </c>
      <c r="C9" s="119" t="s">
        <v>54</v>
      </c>
      <c r="D9" s="55">
        <f>'Universal Input Prices'!$B$15</f>
        <v>21</v>
      </c>
      <c r="E9" s="34">
        <v>0.33</v>
      </c>
      <c r="F9" s="39">
        <f>D9*B9</f>
        <v>378</v>
      </c>
      <c r="G9" s="39">
        <f>F9*(1-E9)</f>
        <v>253.25999999999996</v>
      </c>
      <c r="H9" s="39">
        <f>IF(H6="Cash", D60,F9*E9)</f>
        <v>124.74000000000001</v>
      </c>
    </row>
    <row r="10" spans="1:18" x14ac:dyDescent="0.25">
      <c r="A10" s="9" t="s">
        <v>132</v>
      </c>
      <c r="B10" s="199">
        <v>0.66700000000000004</v>
      </c>
      <c r="C10" s="119"/>
      <c r="D10" s="55"/>
      <c r="E10" s="36"/>
      <c r="F10" s="39"/>
      <c r="G10" s="39"/>
      <c r="H10" s="39"/>
    </row>
    <row r="11" spans="1:18" x14ac:dyDescent="0.25">
      <c r="A11" s="7" t="s">
        <v>263</v>
      </c>
      <c r="B11" s="47">
        <v>0</v>
      </c>
      <c r="C11" s="119" t="s">
        <v>264</v>
      </c>
      <c r="D11" s="55">
        <v>1</v>
      </c>
      <c r="E11" s="34">
        <v>0.33</v>
      </c>
      <c r="F11" s="39">
        <f>D11*B11</f>
        <v>0</v>
      </c>
      <c r="G11" s="39">
        <f>F11*(1-E11)</f>
        <v>0</v>
      </c>
      <c r="H11" s="39">
        <f>IF(H8="Cash", D60,F11*E11)</f>
        <v>0</v>
      </c>
      <c r="I11" s="4"/>
    </row>
    <row r="12" spans="1:18" x14ac:dyDescent="0.25">
      <c r="A12" s="9"/>
      <c r="B12" s="21"/>
      <c r="C12" s="264"/>
      <c r="D12" s="8"/>
      <c r="E12" s="36"/>
      <c r="F12" s="39"/>
      <c r="G12" s="39"/>
      <c r="H12" s="39"/>
    </row>
    <row r="13" spans="1:18" x14ac:dyDescent="0.25">
      <c r="A13" s="4" t="s">
        <v>12</v>
      </c>
      <c r="B13" s="5"/>
      <c r="C13" s="119"/>
      <c r="D13" s="8"/>
      <c r="E13" s="36"/>
      <c r="F13" s="39">
        <f>SUM(F8:F12)</f>
        <v>378</v>
      </c>
      <c r="G13" s="39">
        <f>SUM(G8:G12)</f>
        <v>253.25999999999996</v>
      </c>
      <c r="H13" s="39">
        <f>SUM(H8:H12)</f>
        <v>124.74000000000001</v>
      </c>
      <c r="I13" s="4"/>
    </row>
    <row r="14" spans="1:18" x14ac:dyDescent="0.25">
      <c r="A14" s="4"/>
      <c r="B14" s="5"/>
      <c r="C14" s="119"/>
      <c r="D14" s="8"/>
      <c r="E14" s="36"/>
      <c r="F14" s="39"/>
      <c r="G14" s="39"/>
      <c r="H14" s="39"/>
    </row>
    <row r="15" spans="1:18" x14ac:dyDescent="0.25">
      <c r="A15" s="4" t="s">
        <v>207</v>
      </c>
      <c r="B15" s="5"/>
      <c r="C15" s="119"/>
      <c r="D15" s="8"/>
      <c r="E15" s="36"/>
      <c r="F15" s="39"/>
      <c r="G15" s="39"/>
      <c r="H15" s="39"/>
    </row>
    <row r="16" spans="1:18" x14ac:dyDescent="0.25">
      <c r="A16" s="4" t="s">
        <v>1</v>
      </c>
      <c r="B16" s="28">
        <v>1</v>
      </c>
      <c r="C16" s="119" t="s">
        <v>14</v>
      </c>
      <c r="D16" s="14">
        <v>34</v>
      </c>
      <c r="E16" s="34">
        <v>0</v>
      </c>
      <c r="F16" s="39">
        <f>D16*B16</f>
        <v>34</v>
      </c>
      <c r="G16" s="39">
        <f>F16*(1-E16)</f>
        <v>34</v>
      </c>
      <c r="H16" s="39">
        <f>F16*E16</f>
        <v>0</v>
      </c>
    </row>
    <row r="17" spans="1:9" x14ac:dyDescent="0.25">
      <c r="A17" s="4" t="s">
        <v>0</v>
      </c>
      <c r="B17" s="26"/>
      <c r="C17" s="119"/>
      <c r="D17" s="15"/>
      <c r="E17" s="36"/>
      <c r="F17" s="39"/>
      <c r="G17" s="39"/>
      <c r="H17" s="39"/>
    </row>
    <row r="18" spans="1:9" x14ac:dyDescent="0.25">
      <c r="A18" s="302" t="s">
        <v>136</v>
      </c>
      <c r="B18" s="24">
        <v>24</v>
      </c>
      <c r="C18" s="119" t="s">
        <v>79</v>
      </c>
      <c r="D18" s="54">
        <f>IF(A18="",0,VLOOKUP(A18,'Universal Input Prices'!$A$26:$B$30, 2))</f>
        <v>0.47</v>
      </c>
      <c r="E18" s="34">
        <v>0.33</v>
      </c>
      <c r="F18" s="39">
        <f>D18*B18</f>
        <v>11.28</v>
      </c>
      <c r="G18" s="39">
        <f>F18*(1-E18)</f>
        <v>7.557599999999999</v>
      </c>
      <c r="H18" s="39">
        <f>F18*E18</f>
        <v>3.7223999999999999</v>
      </c>
    </row>
    <row r="19" spans="1:9" x14ac:dyDescent="0.25">
      <c r="A19" s="302" t="s">
        <v>135</v>
      </c>
      <c r="B19" s="24">
        <v>70</v>
      </c>
      <c r="C19" s="119" t="s">
        <v>79</v>
      </c>
      <c r="D19" s="54">
        <f>IF(A19="",0,VLOOKUP(A19,'Universal Input Prices'!$A$26:$B$27, 2))</f>
        <v>0.41015625</v>
      </c>
      <c r="E19" s="34">
        <v>0.33</v>
      </c>
      <c r="F19" s="39">
        <f>D19*B19</f>
        <v>28.7109375</v>
      </c>
      <c r="G19" s="39">
        <f>F19*(1-E19)</f>
        <v>19.236328124999996</v>
      </c>
      <c r="H19" s="39">
        <f>F19*E19</f>
        <v>9.474609375</v>
      </c>
    </row>
    <row r="20" spans="1:9" x14ac:dyDescent="0.25">
      <c r="A20" s="302"/>
      <c r="B20" s="24">
        <v>0</v>
      </c>
      <c r="C20" s="119" t="s">
        <v>79</v>
      </c>
      <c r="D20" s="54">
        <f>IF(A20="",0,VLOOKUP(A20,'Universal Input Prices'!$A$26:$B$30, 2))</f>
        <v>0</v>
      </c>
      <c r="E20" s="34">
        <v>0</v>
      </c>
      <c r="F20" s="39">
        <f>D20*B20</f>
        <v>0</v>
      </c>
      <c r="G20" s="39">
        <f>F20*(1-E20)</f>
        <v>0</v>
      </c>
      <c r="H20" s="39">
        <f>F20*E20</f>
        <v>0</v>
      </c>
      <c r="I20" s="4"/>
    </row>
    <row r="21" spans="1:9" x14ac:dyDescent="0.25">
      <c r="A21" s="4" t="s">
        <v>15</v>
      </c>
      <c r="B21" s="27"/>
      <c r="C21" s="119"/>
      <c r="D21" s="8"/>
      <c r="E21" s="36"/>
      <c r="F21" s="39"/>
      <c r="G21" s="39"/>
      <c r="H21" s="39"/>
    </row>
    <row r="22" spans="1:9" x14ac:dyDescent="0.25">
      <c r="A22" s="2" t="s">
        <v>243</v>
      </c>
      <c r="B22" s="24">
        <v>1</v>
      </c>
      <c r="C22" s="119" t="s">
        <v>14</v>
      </c>
      <c r="D22" s="14">
        <v>15.35</v>
      </c>
      <c r="E22" s="34">
        <v>0.33</v>
      </c>
      <c r="F22" s="39">
        <f t="shared" ref="F22:F38" si="0">D22*B22</f>
        <v>15.35</v>
      </c>
      <c r="G22" s="39">
        <f t="shared" ref="G22:G38" si="1">F22*(1-E22)</f>
        <v>10.2845</v>
      </c>
      <c r="H22" s="39">
        <f t="shared" ref="H22:H38" si="2">F22*E22</f>
        <v>5.0655000000000001</v>
      </c>
    </row>
    <row r="23" spans="1:9" x14ac:dyDescent="0.25">
      <c r="A23" s="2" t="s">
        <v>242</v>
      </c>
      <c r="B23" s="24">
        <v>3</v>
      </c>
      <c r="C23" s="119" t="s">
        <v>14</v>
      </c>
      <c r="D23" s="14">
        <v>9.4</v>
      </c>
      <c r="E23" s="34">
        <v>0.33</v>
      </c>
      <c r="F23" s="39">
        <f t="shared" si="0"/>
        <v>28.200000000000003</v>
      </c>
      <c r="G23" s="39">
        <f t="shared" si="1"/>
        <v>18.893999999999998</v>
      </c>
      <c r="H23" s="39">
        <f t="shared" si="2"/>
        <v>9.3060000000000009</v>
      </c>
    </row>
    <row r="24" spans="1:9" x14ac:dyDescent="0.25">
      <c r="A24" s="2" t="s">
        <v>244</v>
      </c>
      <c r="B24" s="24">
        <v>1</v>
      </c>
      <c r="C24" s="119" t="s">
        <v>14</v>
      </c>
      <c r="D24" s="14">
        <v>9.8000000000000007</v>
      </c>
      <c r="E24" s="34">
        <v>0.33</v>
      </c>
      <c r="F24" s="39">
        <f t="shared" si="0"/>
        <v>9.8000000000000007</v>
      </c>
      <c r="G24" s="39">
        <f t="shared" si="1"/>
        <v>6.5659999999999998</v>
      </c>
      <c r="H24" s="39">
        <f t="shared" si="2"/>
        <v>3.2340000000000004</v>
      </c>
    </row>
    <row r="25" spans="1:9" x14ac:dyDescent="0.25">
      <c r="A25" s="2" t="s">
        <v>245</v>
      </c>
      <c r="B25" s="27">
        <v>1</v>
      </c>
      <c r="C25" s="119" t="s">
        <v>14</v>
      </c>
      <c r="D25" s="14">
        <v>25</v>
      </c>
      <c r="E25" s="34">
        <v>0</v>
      </c>
      <c r="F25" s="39">
        <f t="shared" si="0"/>
        <v>25</v>
      </c>
      <c r="G25" s="39">
        <f t="shared" si="1"/>
        <v>25</v>
      </c>
      <c r="H25" s="39">
        <f t="shared" si="2"/>
        <v>0</v>
      </c>
    </row>
    <row r="26" spans="1:9" x14ac:dyDescent="0.25">
      <c r="A26" s="2" t="s">
        <v>246</v>
      </c>
      <c r="B26" s="5">
        <f>B9</f>
        <v>18</v>
      </c>
      <c r="C26" s="119" t="s">
        <v>54</v>
      </c>
      <c r="D26" s="14">
        <v>0.45</v>
      </c>
      <c r="E26" s="34">
        <v>0</v>
      </c>
      <c r="F26" s="39">
        <f t="shared" si="0"/>
        <v>8.1</v>
      </c>
      <c r="G26" s="39">
        <f t="shared" si="1"/>
        <v>8.1</v>
      </c>
      <c r="H26" s="39">
        <f t="shared" si="2"/>
        <v>0</v>
      </c>
    </row>
    <row r="27" spans="1:9" x14ac:dyDescent="0.25">
      <c r="A27" s="2" t="s">
        <v>247</v>
      </c>
      <c r="B27" s="24">
        <v>1</v>
      </c>
      <c r="C27" s="265" t="s">
        <v>14</v>
      </c>
      <c r="D27" s="14">
        <v>3.25</v>
      </c>
      <c r="E27" s="34">
        <v>0.33</v>
      </c>
      <c r="F27" s="39">
        <f t="shared" si="0"/>
        <v>3.25</v>
      </c>
      <c r="G27" s="39">
        <f t="shared" si="1"/>
        <v>2.1774999999999998</v>
      </c>
      <c r="H27" s="39">
        <f t="shared" si="2"/>
        <v>1.0725</v>
      </c>
    </row>
    <row r="28" spans="1:9" x14ac:dyDescent="0.25">
      <c r="A28" s="16" t="s">
        <v>40</v>
      </c>
      <c r="B28" s="24">
        <v>1</v>
      </c>
      <c r="C28" s="265" t="s">
        <v>14</v>
      </c>
      <c r="D28" s="14">
        <v>0</v>
      </c>
      <c r="E28" s="34">
        <v>0</v>
      </c>
      <c r="F28" s="39">
        <f t="shared" si="0"/>
        <v>0</v>
      </c>
      <c r="G28" s="39">
        <f t="shared" si="1"/>
        <v>0</v>
      </c>
      <c r="H28" s="39">
        <f t="shared" si="2"/>
        <v>0</v>
      </c>
    </row>
    <row r="29" spans="1:9" x14ac:dyDescent="0.25">
      <c r="A29" s="16" t="s">
        <v>40</v>
      </c>
      <c r="B29" s="24">
        <v>1</v>
      </c>
      <c r="C29" s="265" t="s">
        <v>14</v>
      </c>
      <c r="D29" s="14">
        <v>0</v>
      </c>
      <c r="E29" s="34">
        <v>0</v>
      </c>
      <c r="F29" s="39">
        <f t="shared" si="0"/>
        <v>0</v>
      </c>
      <c r="G29" s="39">
        <f t="shared" si="1"/>
        <v>0</v>
      </c>
      <c r="H29" s="39">
        <f t="shared" si="2"/>
        <v>0</v>
      </c>
    </row>
    <row r="30" spans="1:9" x14ac:dyDescent="0.25">
      <c r="A30" s="16" t="s">
        <v>40</v>
      </c>
      <c r="B30" s="24">
        <v>1</v>
      </c>
      <c r="C30" s="265" t="s">
        <v>14</v>
      </c>
      <c r="D30" s="14">
        <v>0</v>
      </c>
      <c r="E30" s="34">
        <v>0</v>
      </c>
      <c r="F30" s="39">
        <f t="shared" si="0"/>
        <v>0</v>
      </c>
      <c r="G30" s="39">
        <f t="shared" si="1"/>
        <v>0</v>
      </c>
      <c r="H30" s="39">
        <f t="shared" si="2"/>
        <v>0</v>
      </c>
    </row>
    <row r="31" spans="1:9" x14ac:dyDescent="0.25">
      <c r="A31" s="16" t="s">
        <v>40</v>
      </c>
      <c r="B31" s="24">
        <v>1</v>
      </c>
      <c r="C31" s="265" t="s">
        <v>14</v>
      </c>
      <c r="D31" s="14">
        <v>0</v>
      </c>
      <c r="E31" s="34">
        <v>0</v>
      </c>
      <c r="F31" s="39">
        <f t="shared" si="0"/>
        <v>0</v>
      </c>
      <c r="G31" s="39">
        <f t="shared" si="1"/>
        <v>0</v>
      </c>
      <c r="H31" s="39">
        <f t="shared" si="2"/>
        <v>0</v>
      </c>
    </row>
    <row r="32" spans="1:9" x14ac:dyDescent="0.25">
      <c r="A32" s="16" t="s">
        <v>40</v>
      </c>
      <c r="B32" s="24">
        <v>1</v>
      </c>
      <c r="C32" s="265" t="s">
        <v>14</v>
      </c>
      <c r="D32" s="14">
        <v>0</v>
      </c>
      <c r="E32" s="34">
        <v>0</v>
      </c>
      <c r="F32" s="39">
        <f t="shared" si="0"/>
        <v>0</v>
      </c>
      <c r="G32" s="39">
        <f t="shared" si="1"/>
        <v>0</v>
      </c>
      <c r="H32" s="39">
        <f t="shared" si="2"/>
        <v>0</v>
      </c>
    </row>
    <row r="33" spans="1:9" x14ac:dyDescent="0.25">
      <c r="A33" s="4" t="s">
        <v>22</v>
      </c>
      <c r="B33" s="24">
        <v>1</v>
      </c>
      <c r="C33" s="119" t="s">
        <v>14</v>
      </c>
      <c r="D33" s="14">
        <v>21</v>
      </c>
      <c r="E33" s="34">
        <v>0.33</v>
      </c>
      <c r="F33" s="39">
        <f t="shared" si="0"/>
        <v>21</v>
      </c>
      <c r="G33" s="39">
        <f t="shared" si="1"/>
        <v>14.069999999999999</v>
      </c>
      <c r="H33" s="39">
        <f t="shared" si="2"/>
        <v>6.9300000000000006</v>
      </c>
    </row>
    <row r="34" spans="1:9" x14ac:dyDescent="0.25">
      <c r="A34" s="4" t="s">
        <v>140</v>
      </c>
      <c r="B34" s="28">
        <v>0.45500000000000002</v>
      </c>
      <c r="C34" s="119" t="s">
        <v>23</v>
      </c>
      <c r="D34" s="55">
        <f>'Universal Input Prices'!$B$31</f>
        <v>12.45</v>
      </c>
      <c r="E34" s="34">
        <v>0</v>
      </c>
      <c r="F34" s="39">
        <f t="shared" si="0"/>
        <v>5.6647499999999997</v>
      </c>
      <c r="G34" s="39">
        <f t="shared" si="1"/>
        <v>5.6647499999999997</v>
      </c>
      <c r="H34" s="39">
        <f t="shared" si="2"/>
        <v>0</v>
      </c>
    </row>
    <row r="35" spans="1:9" x14ac:dyDescent="0.25">
      <c r="A35" s="4" t="s">
        <v>24</v>
      </c>
      <c r="B35" s="28">
        <v>0.44800000000000001</v>
      </c>
      <c r="C35" s="119" t="s">
        <v>23</v>
      </c>
      <c r="D35" s="55">
        <f>'Universal Input Prices'!$B$31</f>
        <v>12.45</v>
      </c>
      <c r="E35" s="34">
        <v>0</v>
      </c>
      <c r="F35" s="39">
        <f t="shared" si="0"/>
        <v>5.5775999999999994</v>
      </c>
      <c r="G35" s="39">
        <f t="shared" si="1"/>
        <v>5.5775999999999994</v>
      </c>
      <c r="H35" s="39">
        <f t="shared" si="2"/>
        <v>0</v>
      </c>
    </row>
    <row r="36" spans="1:9" x14ac:dyDescent="0.25">
      <c r="A36" s="4" t="s">
        <v>25</v>
      </c>
      <c r="B36" s="28">
        <v>1.57</v>
      </c>
      <c r="C36" s="119" t="s">
        <v>26</v>
      </c>
      <c r="D36" s="55">
        <f>'Universal Input Prices'!$B$32</f>
        <v>1.81</v>
      </c>
      <c r="E36" s="34">
        <v>0</v>
      </c>
      <c r="F36" s="39">
        <f t="shared" si="0"/>
        <v>2.8417000000000003</v>
      </c>
      <c r="G36" s="39">
        <f t="shared" si="1"/>
        <v>2.8417000000000003</v>
      </c>
      <c r="H36" s="39">
        <f t="shared" si="2"/>
        <v>0</v>
      </c>
    </row>
    <row r="37" spans="1:9" x14ac:dyDescent="0.25">
      <c r="A37" s="4" t="s">
        <v>27</v>
      </c>
      <c r="B37" s="28">
        <v>4.51</v>
      </c>
      <c r="C37" s="119" t="s">
        <v>26</v>
      </c>
      <c r="D37" s="55">
        <f>'Universal Input Prices'!$B$33</f>
        <v>1.9259999999999999</v>
      </c>
      <c r="E37" s="34">
        <v>0</v>
      </c>
      <c r="F37" s="39">
        <f t="shared" si="0"/>
        <v>8.686259999999999</v>
      </c>
      <c r="G37" s="39">
        <f t="shared" si="1"/>
        <v>8.686259999999999</v>
      </c>
      <c r="H37" s="39">
        <f t="shared" si="2"/>
        <v>0</v>
      </c>
    </row>
    <row r="38" spans="1:9" x14ac:dyDescent="0.25">
      <c r="A38" s="4" t="s">
        <v>28</v>
      </c>
      <c r="B38" s="28">
        <v>7</v>
      </c>
      <c r="C38" s="119" t="s">
        <v>29</v>
      </c>
      <c r="D38" s="55">
        <f>'Universal Input Prices'!$B$34</f>
        <v>3.6</v>
      </c>
      <c r="E38" s="34">
        <v>0.33</v>
      </c>
      <c r="F38" s="39">
        <f t="shared" si="0"/>
        <v>25.2</v>
      </c>
      <c r="G38" s="39">
        <f t="shared" si="1"/>
        <v>16.883999999999997</v>
      </c>
      <c r="H38" s="39">
        <f t="shared" si="2"/>
        <v>8.3160000000000007</v>
      </c>
    </row>
    <row r="39" spans="1:9" hidden="1" x14ac:dyDescent="0.25">
      <c r="A39" s="4" t="s">
        <v>248</v>
      </c>
      <c r="B39" s="28">
        <v>66</v>
      </c>
      <c r="C39" s="119"/>
      <c r="D39" s="55"/>
      <c r="E39" s="34"/>
      <c r="F39" s="39"/>
      <c r="G39" s="39"/>
      <c r="H39" s="39"/>
      <c r="I39" s="4"/>
    </row>
    <row r="40" spans="1:9" hidden="1" x14ac:dyDescent="0.25">
      <c r="A40" s="4" t="s">
        <v>249</v>
      </c>
      <c r="B40" s="48">
        <f>B38*18.85694/B39</f>
        <v>1.9999784848484849</v>
      </c>
      <c r="C40" s="119"/>
      <c r="D40" s="55"/>
      <c r="E40" s="34"/>
      <c r="F40" s="39"/>
      <c r="G40" s="39"/>
      <c r="H40" s="39"/>
      <c r="I40" s="4"/>
    </row>
    <row r="41" spans="1:9" x14ac:dyDescent="0.25">
      <c r="A41" s="4" t="s">
        <v>30</v>
      </c>
      <c r="B41" s="5"/>
      <c r="C41" s="119"/>
      <c r="D41" s="15"/>
      <c r="E41" s="36"/>
      <c r="F41" s="39"/>
      <c r="G41" s="39"/>
      <c r="H41" s="39"/>
    </row>
    <row r="42" spans="1:9" x14ac:dyDescent="0.25">
      <c r="A42" s="7" t="s">
        <v>31</v>
      </c>
      <c r="B42" s="5">
        <v>1</v>
      </c>
      <c r="C42" s="119" t="s">
        <v>14</v>
      </c>
      <c r="D42" s="14">
        <v>8.82</v>
      </c>
      <c r="E42" s="34">
        <v>0</v>
      </c>
      <c r="F42" s="39">
        <f>D42*B42</f>
        <v>8.82</v>
      </c>
      <c r="G42" s="39">
        <f>F42*(1-E42)</f>
        <v>8.82</v>
      </c>
      <c r="H42" s="39">
        <f>F42*E42</f>
        <v>0</v>
      </c>
    </row>
    <row r="43" spans="1:9" x14ac:dyDescent="0.25">
      <c r="A43" s="7" t="s">
        <v>2</v>
      </c>
      <c r="B43" s="5">
        <v>1</v>
      </c>
      <c r="C43" s="119" t="s">
        <v>14</v>
      </c>
      <c r="D43" s="14">
        <v>3.28</v>
      </c>
      <c r="E43" s="34">
        <v>0</v>
      </c>
      <c r="F43" s="39">
        <f>D43*B43</f>
        <v>3.28</v>
      </c>
      <c r="G43" s="39">
        <f>F43*(1-E43)</f>
        <v>3.28</v>
      </c>
      <c r="H43" s="39">
        <f>F43*E43</f>
        <v>0</v>
      </c>
    </row>
    <row r="44" spans="1:9" x14ac:dyDescent="0.25">
      <c r="A44" s="7" t="s">
        <v>32</v>
      </c>
      <c r="B44" s="5">
        <f>B38</f>
        <v>7</v>
      </c>
      <c r="C44" s="119" t="s">
        <v>29</v>
      </c>
      <c r="D44" s="14">
        <v>4.04</v>
      </c>
      <c r="E44" s="34">
        <v>0</v>
      </c>
      <c r="F44" s="39">
        <f>D44*B44</f>
        <v>28.28</v>
      </c>
      <c r="G44" s="39">
        <f>F44*(1-E44)</f>
        <v>28.28</v>
      </c>
      <c r="H44" s="39">
        <f>F44*E44</f>
        <v>0</v>
      </c>
    </row>
    <row r="45" spans="1:9" x14ac:dyDescent="0.25">
      <c r="A45" s="7" t="s">
        <v>204</v>
      </c>
      <c r="B45" s="5">
        <v>1</v>
      </c>
      <c r="C45" s="119" t="s">
        <v>14</v>
      </c>
      <c r="D45" s="14">
        <v>0</v>
      </c>
      <c r="E45" s="34">
        <v>1</v>
      </c>
      <c r="F45" s="39">
        <f>D45*B45</f>
        <v>0</v>
      </c>
      <c r="G45" s="39">
        <f>F45*(1-E45)</f>
        <v>0</v>
      </c>
      <c r="H45" s="39">
        <f>F45*E45</f>
        <v>0</v>
      </c>
    </row>
    <row r="46" spans="1:9" x14ac:dyDescent="0.25">
      <c r="A46" s="7" t="s">
        <v>33</v>
      </c>
      <c r="B46" s="5">
        <v>1</v>
      </c>
      <c r="C46" s="119" t="s">
        <v>14</v>
      </c>
      <c r="D46" s="14">
        <v>5.52</v>
      </c>
      <c r="E46" s="34">
        <v>0</v>
      </c>
      <c r="F46" s="39">
        <f>D46*B46</f>
        <v>5.52</v>
      </c>
      <c r="G46" s="39">
        <f>F46*(1-E46)</f>
        <v>5.52</v>
      </c>
      <c r="H46" s="39">
        <f>F46*E46</f>
        <v>0</v>
      </c>
    </row>
    <row r="47" spans="1:9" x14ac:dyDescent="0.25">
      <c r="A47" s="4" t="s">
        <v>34</v>
      </c>
      <c r="B47" s="89">
        <f>'Universal Input Prices'!$B$35</f>
        <v>5.3999999999999999E-2</v>
      </c>
      <c r="C47" s="119"/>
      <c r="D47" s="22"/>
      <c r="E47" s="36"/>
      <c r="F47" s="158">
        <f>(SUM(F16:F24,F27:F46))*$B47/2.1</f>
        <v>6.3118606499999999</v>
      </c>
      <c r="G47" s="158">
        <f t="shared" ref="G47:H47" si="3">(SUM(G16:G24,G27:G46))*$B47/2</f>
        <v>5.3551864293749993</v>
      </c>
      <c r="H47" s="158">
        <f t="shared" si="3"/>
        <v>1.2722672531250001</v>
      </c>
    </row>
    <row r="48" spans="1:9" x14ac:dyDescent="0.25">
      <c r="A48" s="4"/>
      <c r="B48" s="10"/>
      <c r="C48" s="119"/>
      <c r="D48" s="8"/>
      <c r="E48" s="62"/>
      <c r="F48" s="39"/>
      <c r="G48" s="39"/>
      <c r="H48" s="39"/>
    </row>
    <row r="49" spans="1:8" x14ac:dyDescent="0.25">
      <c r="A49" s="4" t="s">
        <v>205</v>
      </c>
      <c r="B49" s="10"/>
      <c r="C49" s="119"/>
      <c r="D49" s="8"/>
      <c r="E49" s="38"/>
      <c r="F49" s="39">
        <f>SUM(F16:F47)</f>
        <v>284.87310814999989</v>
      </c>
      <c r="G49" s="39">
        <f>SUM(G16:G47)</f>
        <v>236.79542455437499</v>
      </c>
      <c r="H49" s="39">
        <f>SUM(H16:H47)</f>
        <v>48.393276628125008</v>
      </c>
    </row>
    <row r="50" spans="1:8" ht="13.8" x14ac:dyDescent="0.25">
      <c r="A50" s="12" t="s">
        <v>206</v>
      </c>
      <c r="B50" s="10"/>
      <c r="C50" s="119"/>
      <c r="D50" s="8"/>
      <c r="E50" s="62"/>
      <c r="F50" s="72">
        <f>F13-F49</f>
        <v>93.126891850000106</v>
      </c>
      <c r="G50" s="72">
        <f>G13-G49</f>
        <v>16.464575445624973</v>
      </c>
      <c r="H50" s="72">
        <f>H13-H49</f>
        <v>76.346723371875001</v>
      </c>
    </row>
    <row r="51" spans="1:8" x14ac:dyDescent="0.25">
      <c r="A51" s="4"/>
      <c r="B51" s="10"/>
      <c r="C51" s="119"/>
      <c r="D51" s="8"/>
      <c r="E51" s="62"/>
      <c r="F51" s="39"/>
      <c r="G51" s="39"/>
      <c r="H51" s="39"/>
    </row>
    <row r="52" spans="1:8" x14ac:dyDescent="0.25">
      <c r="A52" s="4" t="s">
        <v>208</v>
      </c>
      <c r="B52" s="10"/>
      <c r="C52" s="119"/>
      <c r="D52" s="8"/>
      <c r="E52" s="63"/>
      <c r="F52" s="39"/>
      <c r="G52" s="39"/>
      <c r="H52" s="39"/>
    </row>
    <row r="53" spans="1:8" x14ac:dyDescent="0.25">
      <c r="A53" s="7" t="s">
        <v>31</v>
      </c>
      <c r="B53" s="5">
        <v>1</v>
      </c>
      <c r="C53" s="119" t="s">
        <v>14</v>
      </c>
      <c r="D53" s="14">
        <v>14.08</v>
      </c>
      <c r="E53" s="34">
        <v>0</v>
      </c>
      <c r="F53" s="39">
        <f t="shared" ref="F53:F58" si="4">D53*B53</f>
        <v>14.08</v>
      </c>
      <c r="G53" s="39">
        <f t="shared" ref="G53:G61" si="5">F53*(1-E53)</f>
        <v>14.08</v>
      </c>
      <c r="H53" s="39">
        <f t="shared" ref="H53:H61" si="6">F53*E53</f>
        <v>0</v>
      </c>
    </row>
    <row r="54" spans="1:8" x14ac:dyDescent="0.25">
      <c r="A54" s="7" t="s">
        <v>2</v>
      </c>
      <c r="B54" s="5">
        <v>1</v>
      </c>
      <c r="C54" s="119" t="s">
        <v>14</v>
      </c>
      <c r="D54" s="14">
        <v>4.88</v>
      </c>
      <c r="E54" s="34">
        <v>0</v>
      </c>
      <c r="F54" s="39">
        <f t="shared" si="4"/>
        <v>4.88</v>
      </c>
      <c r="G54" s="39">
        <f t="shared" si="5"/>
        <v>4.88</v>
      </c>
      <c r="H54" s="39">
        <f t="shared" si="6"/>
        <v>0</v>
      </c>
    </row>
    <row r="55" spans="1:8" x14ac:dyDescent="0.25">
      <c r="A55" s="2" t="s">
        <v>273</v>
      </c>
      <c r="B55" s="5">
        <v>1</v>
      </c>
      <c r="C55" s="119" t="s">
        <v>14</v>
      </c>
      <c r="D55" s="14">
        <v>28.8</v>
      </c>
      <c r="E55" s="34">
        <v>0</v>
      </c>
      <c r="F55" s="39">
        <f t="shared" si="4"/>
        <v>28.8</v>
      </c>
      <c r="G55" s="39">
        <f t="shared" si="5"/>
        <v>28.8</v>
      </c>
      <c r="H55" s="39">
        <f t="shared" si="6"/>
        <v>0</v>
      </c>
    </row>
    <row r="56" spans="1:8" x14ac:dyDescent="0.25">
      <c r="A56" s="7" t="s">
        <v>204</v>
      </c>
      <c r="B56" s="5">
        <v>1</v>
      </c>
      <c r="C56" s="119" t="s">
        <v>14</v>
      </c>
      <c r="D56" s="14">
        <v>0</v>
      </c>
      <c r="E56" s="34">
        <v>1</v>
      </c>
      <c r="F56" s="39">
        <f t="shared" si="4"/>
        <v>0</v>
      </c>
      <c r="G56" s="39">
        <f t="shared" si="5"/>
        <v>0</v>
      </c>
      <c r="H56" s="39">
        <f t="shared" si="6"/>
        <v>0</v>
      </c>
    </row>
    <row r="57" spans="1:8" x14ac:dyDescent="0.25">
      <c r="A57" s="7" t="s">
        <v>33</v>
      </c>
      <c r="B57" s="5">
        <v>1</v>
      </c>
      <c r="C57" s="119" t="s">
        <v>14</v>
      </c>
      <c r="D57" s="14">
        <v>8.0500000000000007</v>
      </c>
      <c r="E57" s="34">
        <v>0</v>
      </c>
      <c r="F57" s="39">
        <f t="shared" si="4"/>
        <v>8.0500000000000007</v>
      </c>
      <c r="G57" s="39">
        <f t="shared" si="5"/>
        <v>8.0500000000000007</v>
      </c>
      <c r="H57" s="39">
        <f t="shared" si="6"/>
        <v>0</v>
      </c>
    </row>
    <row r="58" spans="1:8" x14ac:dyDescent="0.25">
      <c r="A58" s="7" t="s">
        <v>35</v>
      </c>
      <c r="B58" s="5">
        <v>1</v>
      </c>
      <c r="C58" s="119" t="s">
        <v>14</v>
      </c>
      <c r="D58" s="14">
        <v>0</v>
      </c>
      <c r="E58" s="34">
        <v>0</v>
      </c>
      <c r="F58" s="39">
        <f t="shared" si="4"/>
        <v>0</v>
      </c>
      <c r="G58" s="39">
        <f t="shared" si="5"/>
        <v>0</v>
      </c>
      <c r="H58" s="39">
        <f t="shared" si="6"/>
        <v>0</v>
      </c>
    </row>
    <row r="59" spans="1:8" x14ac:dyDescent="0.25">
      <c r="A59" s="2" t="s">
        <v>272</v>
      </c>
      <c r="B59" s="5">
        <v>1</v>
      </c>
      <c r="C59" s="119" t="s">
        <v>14</v>
      </c>
      <c r="D59" s="14">
        <v>24.62</v>
      </c>
      <c r="E59" s="34">
        <v>0</v>
      </c>
      <c r="F59" s="39">
        <f>B59*D59</f>
        <v>24.62</v>
      </c>
      <c r="G59" s="39">
        <f t="shared" si="5"/>
        <v>24.62</v>
      </c>
      <c r="H59" s="39">
        <f t="shared" si="6"/>
        <v>0</v>
      </c>
    </row>
    <row r="60" spans="1:8" x14ac:dyDescent="0.25">
      <c r="A60" s="7" t="s">
        <v>36</v>
      </c>
      <c r="B60" s="43">
        <v>1</v>
      </c>
      <c r="C60" s="119" t="s">
        <v>14</v>
      </c>
      <c r="D60" s="14">
        <v>72</v>
      </c>
      <c r="E60" s="34">
        <v>1</v>
      </c>
      <c r="F60" s="39">
        <f>D60*B60</f>
        <v>72</v>
      </c>
      <c r="G60" s="39">
        <f>IF($H$6="Cash",D60,F60*(1-E60))</f>
        <v>0</v>
      </c>
      <c r="H60" s="39">
        <f>IF($H$6="Cash",0,F60*E60)</f>
        <v>72</v>
      </c>
    </row>
    <row r="61" spans="1:8" x14ac:dyDescent="0.25">
      <c r="A61" s="7" t="s">
        <v>42</v>
      </c>
      <c r="B61" s="43">
        <v>1</v>
      </c>
      <c r="C61" s="119" t="s">
        <v>14</v>
      </c>
      <c r="D61" s="14">
        <v>0</v>
      </c>
      <c r="E61" s="34">
        <v>1</v>
      </c>
      <c r="F61" s="39">
        <f>B61*D61</f>
        <v>0</v>
      </c>
      <c r="G61" s="39">
        <f t="shared" si="5"/>
        <v>0</v>
      </c>
      <c r="H61" s="39">
        <f t="shared" si="6"/>
        <v>0</v>
      </c>
    </row>
    <row r="62" spans="1:8" x14ac:dyDescent="0.25">
      <c r="A62" s="4" t="s">
        <v>37</v>
      </c>
      <c r="B62" s="5"/>
      <c r="C62" s="119"/>
      <c r="D62" s="10"/>
      <c r="E62" s="36"/>
      <c r="F62" s="39">
        <f>SUM(F53:F61)</f>
        <v>152.43</v>
      </c>
      <c r="G62" s="39">
        <f>SUM(G53:G61)</f>
        <v>80.430000000000007</v>
      </c>
      <c r="H62" s="39">
        <f>SUM(H53:H61)</f>
        <v>72</v>
      </c>
    </row>
    <row r="63" spans="1:8" x14ac:dyDescent="0.25">
      <c r="A63" s="4" t="s">
        <v>38</v>
      </c>
      <c r="B63" s="5"/>
      <c r="C63" s="119"/>
      <c r="D63" s="10"/>
      <c r="E63" s="36"/>
      <c r="F63" s="39">
        <f>F49+F62</f>
        <v>437.3031081499999</v>
      </c>
      <c r="G63" s="39">
        <f>G49+G62</f>
        <v>317.22542455437497</v>
      </c>
      <c r="H63" s="39">
        <f>H49+H62</f>
        <v>120.39327662812501</v>
      </c>
    </row>
    <row r="64" spans="1:8" ht="13.8" x14ac:dyDescent="0.25">
      <c r="A64" s="12" t="s">
        <v>39</v>
      </c>
      <c r="B64" s="31"/>
      <c r="C64" s="141"/>
      <c r="D64" s="30"/>
      <c r="E64" s="73"/>
      <c r="F64" s="72">
        <f>F13-F63</f>
        <v>-59.3031081499999</v>
      </c>
      <c r="G64" s="72">
        <f>G13-G63</f>
        <v>-63.965424554375005</v>
      </c>
      <c r="H64" s="72">
        <f>H13-H63</f>
        <v>4.3467233718750009</v>
      </c>
    </row>
    <row r="65" spans="1:8" ht="12" customHeight="1" x14ac:dyDescent="0.25">
      <c r="A65" s="4"/>
      <c r="B65" s="5"/>
      <c r="C65" s="119"/>
      <c r="D65" s="10"/>
      <c r="E65" s="36"/>
      <c r="F65" s="8"/>
      <c r="G65" s="8"/>
      <c r="H65" s="8"/>
    </row>
    <row r="66" spans="1:8" ht="13.8" x14ac:dyDescent="0.25">
      <c r="A66" s="113" t="s">
        <v>161</v>
      </c>
      <c r="B66" s="113"/>
      <c r="C66" s="266"/>
      <c r="D66" s="113"/>
      <c r="E66" s="114"/>
      <c r="F66" s="115">
        <f>(F64/F63)</f>
        <v>-0.13561099165491927</v>
      </c>
      <c r="G66" s="115">
        <f t="shared" ref="G66:H66" si="7">(G64/G63)</f>
        <v>-0.20164028354357461</v>
      </c>
      <c r="H66" s="115">
        <f t="shared" si="7"/>
        <v>3.6104369725739029E-2</v>
      </c>
    </row>
    <row r="67" spans="1:8" x14ac:dyDescent="0.25">
      <c r="B67" s="41"/>
      <c r="C67" s="41"/>
      <c r="D67" s="46"/>
      <c r="E67" s="36"/>
      <c r="F67" s="42"/>
      <c r="G67" s="4"/>
      <c r="H67" s="4"/>
    </row>
    <row r="68" spans="1:8" x14ac:dyDescent="0.25">
      <c r="B68" s="4"/>
      <c r="C68" s="4"/>
      <c r="D68" s="4"/>
      <c r="E68" s="10"/>
      <c r="F68" s="4"/>
      <c r="G68" s="4"/>
      <c r="H68" s="4"/>
    </row>
    <row r="69" spans="1:8" x14ac:dyDescent="0.25">
      <c r="B69" s="4"/>
      <c r="C69" s="4"/>
      <c r="D69" s="4"/>
      <c r="E69" s="10"/>
      <c r="F69" s="4"/>
      <c r="G69" s="4"/>
      <c r="H69" s="4"/>
    </row>
    <row r="70" spans="1:8" x14ac:dyDescent="0.25">
      <c r="B70" s="4"/>
      <c r="C70" s="4"/>
      <c r="D70" s="4"/>
      <c r="E70" s="10"/>
      <c r="F70" s="4"/>
      <c r="G70" s="4"/>
      <c r="H70" s="4"/>
    </row>
    <row r="71" spans="1:8" x14ac:dyDescent="0.25">
      <c r="B71" s="4"/>
      <c r="C71" s="4"/>
      <c r="D71" s="4"/>
      <c r="E71" s="4"/>
      <c r="F71" s="4"/>
      <c r="G71" s="4"/>
      <c r="H71" s="4"/>
    </row>
    <row r="72" spans="1:8" x14ac:dyDescent="0.25">
      <c r="B72" s="4"/>
      <c r="C72" s="4"/>
      <c r="D72" s="4"/>
      <c r="E72" s="46"/>
      <c r="F72" s="4"/>
      <c r="G72" s="4"/>
      <c r="H72" s="4"/>
    </row>
    <row r="73" spans="1:8" x14ac:dyDescent="0.25">
      <c r="B73" s="4"/>
      <c r="C73" s="4"/>
      <c r="D73" s="4"/>
      <c r="E73" s="4"/>
      <c r="F73" s="4"/>
      <c r="G73" s="4"/>
      <c r="H73"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8:A20">
      <formula1>Fert_Names</formula1>
    </dataValidation>
  </dataValidations>
  <printOptions horizontalCentered="1"/>
  <pageMargins left="0.25" right="0.25" top="0.75" bottom="0.75" header="0.3" footer="0.3"/>
  <pageSetup scale="78" orientation="portrait" r:id="rId1"/>
  <headerFooter alignWithMargins="0">
    <oddFooter>&amp;C&amp;8Texas AgriLife Extension Service provides this software for educational use, solely on an “AS IS” basis and  assumes no liability for its use.</oddFooter>
  </headerFooter>
  <ignoredErrors>
    <ignoredError sqref="D19"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
    <pageSetUpPr fitToPage="1"/>
  </sheetPr>
  <dimension ref="A1:R73"/>
  <sheetViews>
    <sheetView showGridLines="0" showRowColHeaders="0" zoomScale="90" zoomScaleNormal="90" workbookViewId="0">
      <pane ySplit="7" topLeftCell="A41" activePane="bottomLeft" state="frozen"/>
      <selection activeCell="B9" sqref="B9"/>
      <selection pane="bottomLeft" activeCell="D52" sqref="D52"/>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178</v>
      </c>
      <c r="B3" s="319"/>
      <c r="C3" s="319"/>
      <c r="D3" s="319"/>
      <c r="E3" s="319"/>
      <c r="F3" s="319"/>
      <c r="G3" s="319"/>
      <c r="H3" s="319"/>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53" t="s">
        <v>4</v>
      </c>
      <c r="C6" s="53" t="s">
        <v>5</v>
      </c>
      <c r="D6" s="53" t="s">
        <v>6</v>
      </c>
      <c r="E6" s="53" t="s">
        <v>53</v>
      </c>
      <c r="F6" s="244"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5"/>
      <c r="D8" s="5"/>
      <c r="E8" s="5"/>
      <c r="F8" s="5"/>
      <c r="G8" s="5"/>
      <c r="H8" s="5"/>
    </row>
    <row r="9" spans="1:18" x14ac:dyDescent="0.25">
      <c r="A9" s="7" t="s">
        <v>88</v>
      </c>
      <c r="B9" s="47">
        <v>20</v>
      </c>
      <c r="C9" s="119" t="s">
        <v>54</v>
      </c>
      <c r="D9" s="55">
        <f>'Universal Input Prices'!$B$16</f>
        <v>16.5</v>
      </c>
      <c r="E9" s="34">
        <v>0.33</v>
      </c>
      <c r="F9" s="39">
        <f>D9*B9</f>
        <v>330</v>
      </c>
      <c r="G9" s="39">
        <f>F9*(1-E9)</f>
        <v>221.09999999999997</v>
      </c>
      <c r="H9" s="39">
        <f>IF(H6="Cash", D59,F9*E9)</f>
        <v>108.9</v>
      </c>
    </row>
    <row r="10" spans="1:18" x14ac:dyDescent="0.25">
      <c r="A10" s="7" t="s">
        <v>263</v>
      </c>
      <c r="B10" s="47">
        <v>0</v>
      </c>
      <c r="C10" s="119" t="s">
        <v>264</v>
      </c>
      <c r="D10" s="55">
        <v>1</v>
      </c>
      <c r="E10" s="34">
        <v>0.33</v>
      </c>
      <c r="F10" s="39">
        <f>D10*B10</f>
        <v>0</v>
      </c>
      <c r="G10" s="39">
        <f>F10*(1-E10)</f>
        <v>0</v>
      </c>
      <c r="H10" s="39">
        <f>IF(H7="Cash", D59,F10*E10)</f>
        <v>0</v>
      </c>
      <c r="I10" s="4"/>
    </row>
    <row r="11" spans="1:18" x14ac:dyDescent="0.25">
      <c r="A11" s="9"/>
      <c r="B11" s="21"/>
      <c r="C11" s="264"/>
      <c r="D11" s="8"/>
      <c r="E11" s="36"/>
      <c r="F11" s="39"/>
      <c r="G11" s="39"/>
      <c r="H11" s="39"/>
    </row>
    <row r="12" spans="1:18" x14ac:dyDescent="0.25">
      <c r="A12" s="4" t="s">
        <v>12</v>
      </c>
      <c r="B12" s="5"/>
      <c r="C12" s="119"/>
      <c r="D12" s="8"/>
      <c r="E12" s="36"/>
      <c r="F12" s="39">
        <f>SUM(F8:F11)</f>
        <v>330</v>
      </c>
      <c r="G12" s="39">
        <f>SUM(G8:G11)</f>
        <v>221.09999999999997</v>
      </c>
      <c r="H12" s="39">
        <f>SUM(H8:H11)</f>
        <v>108.9</v>
      </c>
    </row>
    <row r="13" spans="1:18" x14ac:dyDescent="0.25">
      <c r="A13" s="4"/>
      <c r="B13" s="5"/>
      <c r="C13" s="119"/>
      <c r="D13" s="8"/>
      <c r="E13" s="36"/>
      <c r="F13" s="39"/>
      <c r="G13" s="39"/>
      <c r="H13" s="39"/>
    </row>
    <row r="14" spans="1:18" x14ac:dyDescent="0.25">
      <c r="A14" s="4" t="s">
        <v>207</v>
      </c>
      <c r="B14" s="5"/>
      <c r="C14" s="119"/>
      <c r="D14" s="8"/>
      <c r="E14" s="36"/>
      <c r="F14" s="39"/>
      <c r="G14" s="39"/>
      <c r="H14" s="39"/>
      <c r="M14" s="52"/>
    </row>
    <row r="15" spans="1:18" x14ac:dyDescent="0.25">
      <c r="A15" s="4" t="s">
        <v>1</v>
      </c>
      <c r="B15" s="28">
        <v>1</v>
      </c>
      <c r="C15" s="119" t="s">
        <v>14</v>
      </c>
      <c r="D15" s="13">
        <v>32.35</v>
      </c>
      <c r="E15" s="34">
        <v>0</v>
      </c>
      <c r="F15" s="39">
        <f>D15*B15</f>
        <v>32.35</v>
      </c>
      <c r="G15" s="39">
        <f>F15*(1-E15)</f>
        <v>32.35</v>
      </c>
      <c r="H15" s="39">
        <f>F15*E15</f>
        <v>0</v>
      </c>
      <c r="M15" s="52"/>
    </row>
    <row r="16" spans="1:18" x14ac:dyDescent="0.25">
      <c r="A16" s="4" t="s">
        <v>0</v>
      </c>
      <c r="B16" s="26"/>
      <c r="C16" s="119"/>
      <c r="D16" s="15"/>
      <c r="E16" s="36"/>
      <c r="F16" s="39"/>
      <c r="G16" s="39"/>
      <c r="H16" s="39"/>
    </row>
    <row r="17" spans="1:9" x14ac:dyDescent="0.25">
      <c r="A17" s="302" t="s">
        <v>136</v>
      </c>
      <c r="B17" s="24">
        <v>24</v>
      </c>
      <c r="C17" s="119" t="s">
        <v>79</v>
      </c>
      <c r="D17" s="54">
        <f>IF(A17="",0,VLOOKUP(A17,'Universal Input Prices'!$A$26:$B$30, 2))</f>
        <v>0.47</v>
      </c>
      <c r="E17" s="34">
        <v>0.33</v>
      </c>
      <c r="F17" s="39">
        <f>D17*B17</f>
        <v>11.28</v>
      </c>
      <c r="G17" s="39">
        <f>F17*(1-E17)</f>
        <v>7.557599999999999</v>
      </c>
      <c r="H17" s="39">
        <f>F17*E17</f>
        <v>3.7223999999999999</v>
      </c>
    </row>
    <row r="18" spans="1:9" x14ac:dyDescent="0.25">
      <c r="A18" s="302" t="s">
        <v>135</v>
      </c>
      <c r="B18" s="24">
        <v>70</v>
      </c>
      <c r="C18" s="119" t="s">
        <v>79</v>
      </c>
      <c r="D18" s="54">
        <f>IF(A18="",0,VLOOKUP(A18,'Universal Input Prices'!$A$26:$B$27, 2))</f>
        <v>0.41015625</v>
      </c>
      <c r="E18" s="34">
        <v>0.33</v>
      </c>
      <c r="F18" s="39">
        <f>D18*B18</f>
        <v>28.7109375</v>
      </c>
      <c r="G18" s="39">
        <f>F18*(1-E18)</f>
        <v>19.236328124999996</v>
      </c>
      <c r="H18" s="39">
        <f>F18*E18</f>
        <v>9.474609375</v>
      </c>
    </row>
    <row r="19" spans="1:9" x14ac:dyDescent="0.25">
      <c r="A19" s="302"/>
      <c r="B19" s="24">
        <v>0</v>
      </c>
      <c r="C19" s="119" t="s">
        <v>79</v>
      </c>
      <c r="D19" s="54">
        <f>IF(A19="",0,VLOOKUP(A19,'Universal Input Prices'!$A$26:$B$30, 2))</f>
        <v>0</v>
      </c>
      <c r="E19" s="34">
        <v>0</v>
      </c>
      <c r="F19" s="39">
        <f>D19*B19</f>
        <v>0</v>
      </c>
      <c r="G19" s="39">
        <f>F19*(1-E19)</f>
        <v>0</v>
      </c>
      <c r="H19" s="39">
        <f>F19*E19</f>
        <v>0</v>
      </c>
      <c r="I19" s="4"/>
    </row>
    <row r="20" spans="1:9" x14ac:dyDescent="0.25">
      <c r="A20" s="4" t="s">
        <v>15</v>
      </c>
      <c r="B20" s="27"/>
      <c r="C20" s="119"/>
      <c r="D20" s="8"/>
      <c r="E20" s="36"/>
      <c r="F20" s="39"/>
      <c r="G20" s="39"/>
      <c r="H20" s="39"/>
    </row>
    <row r="21" spans="1:9" x14ac:dyDescent="0.25">
      <c r="A21" s="2" t="s">
        <v>242</v>
      </c>
      <c r="B21" s="24">
        <v>3</v>
      </c>
      <c r="C21" s="119" t="s">
        <v>14</v>
      </c>
      <c r="D21" s="14">
        <v>9.4</v>
      </c>
      <c r="E21" s="34">
        <v>0.33</v>
      </c>
      <c r="F21" s="39">
        <f t="shared" ref="F21:F37" si="0">D21*B21</f>
        <v>28.200000000000003</v>
      </c>
      <c r="G21" s="39">
        <f t="shared" ref="G21:G37" si="1">F21*(1-E21)</f>
        <v>18.893999999999998</v>
      </c>
      <c r="H21" s="39">
        <f t="shared" ref="H21:H37" si="2">F21*E21</f>
        <v>9.3060000000000009</v>
      </c>
    </row>
    <row r="22" spans="1:9" x14ac:dyDescent="0.25">
      <c r="A22" s="2" t="s">
        <v>243</v>
      </c>
      <c r="B22" s="24">
        <v>1</v>
      </c>
      <c r="C22" s="119"/>
      <c r="D22" s="14">
        <v>15.35</v>
      </c>
      <c r="E22" s="34">
        <v>0.33</v>
      </c>
      <c r="F22" s="39">
        <f t="shared" si="0"/>
        <v>15.35</v>
      </c>
      <c r="G22" s="39">
        <f t="shared" si="1"/>
        <v>10.2845</v>
      </c>
      <c r="H22" s="39">
        <f t="shared" si="2"/>
        <v>5.0655000000000001</v>
      </c>
    </row>
    <row r="23" spans="1:9" x14ac:dyDescent="0.25">
      <c r="A23" s="2" t="s">
        <v>244</v>
      </c>
      <c r="B23" s="24">
        <v>1</v>
      </c>
      <c r="C23" s="119" t="s">
        <v>14</v>
      </c>
      <c r="D23" s="14">
        <v>9.6</v>
      </c>
      <c r="E23" s="34">
        <v>0.33</v>
      </c>
      <c r="F23" s="39">
        <f t="shared" si="0"/>
        <v>9.6</v>
      </c>
      <c r="G23" s="39">
        <f t="shared" si="1"/>
        <v>6.4319999999999995</v>
      </c>
      <c r="H23" s="39">
        <f t="shared" si="2"/>
        <v>3.1680000000000001</v>
      </c>
    </row>
    <row r="24" spans="1:9" x14ac:dyDescent="0.25">
      <c r="A24" s="2" t="s">
        <v>245</v>
      </c>
      <c r="B24" s="27">
        <v>1</v>
      </c>
      <c r="C24" s="119" t="s">
        <v>14</v>
      </c>
      <c r="D24" s="14">
        <v>25</v>
      </c>
      <c r="E24" s="34">
        <v>0.33</v>
      </c>
      <c r="F24" s="39">
        <f t="shared" si="0"/>
        <v>25</v>
      </c>
      <c r="G24" s="39">
        <f t="shared" si="1"/>
        <v>16.75</v>
      </c>
      <c r="H24" s="39">
        <f t="shared" si="2"/>
        <v>8.25</v>
      </c>
    </row>
    <row r="25" spans="1:9" x14ac:dyDescent="0.25">
      <c r="A25" s="2" t="s">
        <v>246</v>
      </c>
      <c r="B25" s="5">
        <f>B9</f>
        <v>20</v>
      </c>
      <c r="C25" s="119" t="s">
        <v>54</v>
      </c>
      <c r="D25" s="14">
        <v>0.45</v>
      </c>
      <c r="E25" s="34">
        <v>0.33</v>
      </c>
      <c r="F25" s="39">
        <f t="shared" si="0"/>
        <v>9</v>
      </c>
      <c r="G25" s="39">
        <f t="shared" si="1"/>
        <v>6.0299999999999994</v>
      </c>
      <c r="H25" s="39">
        <f t="shared" si="2"/>
        <v>2.97</v>
      </c>
    </row>
    <row r="26" spans="1:9" x14ac:dyDescent="0.25">
      <c r="A26" s="2" t="s">
        <v>247</v>
      </c>
      <c r="B26" s="24">
        <v>1</v>
      </c>
      <c r="C26" s="265" t="s">
        <v>14</v>
      </c>
      <c r="D26" s="14">
        <v>3.25</v>
      </c>
      <c r="E26" s="34">
        <v>0.33</v>
      </c>
      <c r="F26" s="39">
        <f>D26*B26</f>
        <v>3.25</v>
      </c>
      <c r="G26" s="39">
        <f>F26*(1-E26)</f>
        <v>2.1774999999999998</v>
      </c>
      <c r="H26" s="39">
        <f>F26*E26</f>
        <v>1.0725</v>
      </c>
    </row>
    <row r="27" spans="1:9" x14ac:dyDescent="0.25">
      <c r="A27" s="16" t="s">
        <v>40</v>
      </c>
      <c r="B27" s="24">
        <v>1</v>
      </c>
      <c r="C27" s="265" t="s">
        <v>14</v>
      </c>
      <c r="D27" s="14">
        <v>0</v>
      </c>
      <c r="E27" s="34">
        <v>0</v>
      </c>
      <c r="F27" s="39">
        <f>D27*B27</f>
        <v>0</v>
      </c>
      <c r="G27" s="39">
        <f>F27*(1-E27)</f>
        <v>0</v>
      </c>
      <c r="H27" s="39">
        <f>F27*E27</f>
        <v>0</v>
      </c>
    </row>
    <row r="28" spans="1:9" x14ac:dyDescent="0.25">
      <c r="A28" s="16" t="s">
        <v>40</v>
      </c>
      <c r="B28" s="24">
        <v>1</v>
      </c>
      <c r="C28" s="265" t="s">
        <v>14</v>
      </c>
      <c r="D28" s="14">
        <v>0</v>
      </c>
      <c r="E28" s="34">
        <v>0</v>
      </c>
      <c r="F28" s="39">
        <f>D28*B28</f>
        <v>0</v>
      </c>
      <c r="G28" s="39">
        <f>F28*(1-E28)</f>
        <v>0</v>
      </c>
      <c r="H28" s="39">
        <f>F28*E28</f>
        <v>0</v>
      </c>
    </row>
    <row r="29" spans="1:9" x14ac:dyDescent="0.25">
      <c r="A29" s="16" t="s">
        <v>40</v>
      </c>
      <c r="B29" s="24">
        <v>1</v>
      </c>
      <c r="C29" s="265" t="s">
        <v>14</v>
      </c>
      <c r="D29" s="14">
        <v>0</v>
      </c>
      <c r="E29" s="34">
        <v>0</v>
      </c>
      <c r="F29" s="39">
        <f t="shared" si="0"/>
        <v>0</v>
      </c>
      <c r="G29" s="39">
        <f t="shared" si="1"/>
        <v>0</v>
      </c>
      <c r="H29" s="39">
        <f t="shared" si="2"/>
        <v>0</v>
      </c>
    </row>
    <row r="30" spans="1:9" x14ac:dyDescent="0.25">
      <c r="A30" s="16" t="s">
        <v>40</v>
      </c>
      <c r="B30" s="24">
        <v>1</v>
      </c>
      <c r="C30" s="265" t="s">
        <v>14</v>
      </c>
      <c r="D30" s="14">
        <v>0</v>
      </c>
      <c r="E30" s="34">
        <v>0</v>
      </c>
      <c r="F30" s="39">
        <f t="shared" si="0"/>
        <v>0</v>
      </c>
      <c r="G30" s="39">
        <f t="shared" si="1"/>
        <v>0</v>
      </c>
      <c r="H30" s="39">
        <f t="shared" si="2"/>
        <v>0</v>
      </c>
    </row>
    <row r="31" spans="1:9" x14ac:dyDescent="0.25">
      <c r="A31" s="16" t="s">
        <v>40</v>
      </c>
      <c r="B31" s="24">
        <v>1</v>
      </c>
      <c r="C31" s="265" t="s">
        <v>14</v>
      </c>
      <c r="D31" s="14">
        <v>0</v>
      </c>
      <c r="E31" s="34">
        <v>0</v>
      </c>
      <c r="F31" s="39">
        <f t="shared" si="0"/>
        <v>0</v>
      </c>
      <c r="G31" s="39">
        <f t="shared" si="1"/>
        <v>0</v>
      </c>
      <c r="H31" s="39">
        <f t="shared" si="2"/>
        <v>0</v>
      </c>
    </row>
    <row r="32" spans="1:9" x14ac:dyDescent="0.25">
      <c r="A32" s="4" t="s">
        <v>22</v>
      </c>
      <c r="B32" s="24">
        <v>1</v>
      </c>
      <c r="C32" s="119" t="s">
        <v>14</v>
      </c>
      <c r="D32" s="14">
        <v>21</v>
      </c>
      <c r="E32" s="34">
        <v>0.33</v>
      </c>
      <c r="F32" s="39">
        <f t="shared" si="0"/>
        <v>21</v>
      </c>
      <c r="G32" s="39">
        <f t="shared" si="1"/>
        <v>14.069999999999999</v>
      </c>
      <c r="H32" s="39">
        <f t="shared" si="2"/>
        <v>6.9300000000000006</v>
      </c>
    </row>
    <row r="33" spans="1:9" x14ac:dyDescent="0.25">
      <c r="A33" s="4" t="s">
        <v>140</v>
      </c>
      <c r="B33" s="28">
        <v>0.45500000000000002</v>
      </c>
      <c r="C33" s="119" t="s">
        <v>23</v>
      </c>
      <c r="D33" s="55">
        <f>'Universal Input Prices'!$B$31</f>
        <v>12.45</v>
      </c>
      <c r="E33" s="34">
        <v>0</v>
      </c>
      <c r="F33" s="39">
        <f t="shared" si="0"/>
        <v>5.6647499999999997</v>
      </c>
      <c r="G33" s="39">
        <f t="shared" si="1"/>
        <v>5.6647499999999997</v>
      </c>
      <c r="H33" s="39">
        <f t="shared" si="2"/>
        <v>0</v>
      </c>
    </row>
    <row r="34" spans="1:9" x14ac:dyDescent="0.25">
      <c r="A34" s="4" t="s">
        <v>24</v>
      </c>
      <c r="B34" s="28">
        <v>0.44800000000000001</v>
      </c>
      <c r="C34" s="119" t="s">
        <v>23</v>
      </c>
      <c r="D34" s="55">
        <f>'Universal Input Prices'!$B$31</f>
        <v>12.45</v>
      </c>
      <c r="E34" s="34">
        <v>0</v>
      </c>
      <c r="F34" s="39">
        <f t="shared" si="0"/>
        <v>5.5775999999999994</v>
      </c>
      <c r="G34" s="39">
        <f t="shared" si="1"/>
        <v>5.5775999999999994</v>
      </c>
      <c r="H34" s="39">
        <f t="shared" si="2"/>
        <v>0</v>
      </c>
    </row>
    <row r="35" spans="1:9" x14ac:dyDescent="0.25">
      <c r="A35" s="4" t="s">
        <v>25</v>
      </c>
      <c r="B35" s="28">
        <v>1.57</v>
      </c>
      <c r="C35" s="119" t="s">
        <v>26</v>
      </c>
      <c r="D35" s="55">
        <f>'Universal Input Prices'!$B$32</f>
        <v>1.81</v>
      </c>
      <c r="E35" s="34">
        <v>0</v>
      </c>
      <c r="F35" s="39">
        <f t="shared" si="0"/>
        <v>2.8417000000000003</v>
      </c>
      <c r="G35" s="39">
        <f t="shared" si="1"/>
        <v>2.8417000000000003</v>
      </c>
      <c r="H35" s="39">
        <f t="shared" si="2"/>
        <v>0</v>
      </c>
    </row>
    <row r="36" spans="1:9" x14ac:dyDescent="0.25">
      <c r="A36" s="4" t="s">
        <v>27</v>
      </c>
      <c r="B36" s="28">
        <v>4.51</v>
      </c>
      <c r="C36" s="119" t="s">
        <v>26</v>
      </c>
      <c r="D36" s="55">
        <f>'Universal Input Prices'!$B$33</f>
        <v>1.9259999999999999</v>
      </c>
      <c r="E36" s="34">
        <v>0</v>
      </c>
      <c r="F36" s="39">
        <f t="shared" si="0"/>
        <v>8.686259999999999</v>
      </c>
      <c r="G36" s="39">
        <f t="shared" si="1"/>
        <v>8.686259999999999</v>
      </c>
      <c r="H36" s="39">
        <f t="shared" si="2"/>
        <v>0</v>
      </c>
    </row>
    <row r="37" spans="1:9" x14ac:dyDescent="0.25">
      <c r="A37" s="4" t="s">
        <v>28</v>
      </c>
      <c r="B37" s="28">
        <v>7</v>
      </c>
      <c r="C37" s="119" t="s">
        <v>29</v>
      </c>
      <c r="D37" s="55">
        <f>'Universal Input Prices'!$B$34</f>
        <v>3.6</v>
      </c>
      <c r="E37" s="34">
        <v>0.33</v>
      </c>
      <c r="F37" s="39">
        <f t="shared" si="0"/>
        <v>25.2</v>
      </c>
      <c r="G37" s="39">
        <f t="shared" si="1"/>
        <v>16.883999999999997</v>
      </c>
      <c r="H37" s="39">
        <f t="shared" si="2"/>
        <v>8.3160000000000007</v>
      </c>
    </row>
    <row r="38" spans="1:9" hidden="1" x14ac:dyDescent="0.25">
      <c r="A38" s="4" t="s">
        <v>248</v>
      </c>
      <c r="B38" s="28">
        <v>66</v>
      </c>
      <c r="C38" s="119"/>
      <c r="D38" s="55"/>
      <c r="E38" s="34"/>
      <c r="F38" s="39"/>
      <c r="G38" s="39"/>
      <c r="H38" s="39"/>
      <c r="I38" s="4"/>
    </row>
    <row r="39" spans="1:9" hidden="1" x14ac:dyDescent="0.25">
      <c r="A39" s="4" t="s">
        <v>249</v>
      </c>
      <c r="B39" s="48">
        <f>B37*18.85694/B38</f>
        <v>1.9999784848484849</v>
      </c>
      <c r="C39" s="119"/>
      <c r="D39" s="55"/>
      <c r="E39" s="34"/>
      <c r="F39" s="39"/>
      <c r="G39" s="39"/>
      <c r="H39" s="39"/>
      <c r="I39" s="4"/>
    </row>
    <row r="40" spans="1:9" x14ac:dyDescent="0.25">
      <c r="A40" s="4" t="s">
        <v>30</v>
      </c>
      <c r="B40" s="5"/>
      <c r="C40" s="119"/>
      <c r="D40" s="15"/>
      <c r="E40" s="36"/>
      <c r="F40" s="39"/>
      <c r="G40" s="39"/>
      <c r="H40" s="39"/>
    </row>
    <row r="41" spans="1:9" x14ac:dyDescent="0.25">
      <c r="A41" s="7" t="s">
        <v>31</v>
      </c>
      <c r="B41" s="5">
        <v>1</v>
      </c>
      <c r="C41" s="119" t="s">
        <v>14</v>
      </c>
      <c r="D41" s="14">
        <v>8.82</v>
      </c>
      <c r="E41" s="34">
        <v>0</v>
      </c>
      <c r="F41" s="39">
        <f>D41*B41</f>
        <v>8.82</v>
      </c>
      <c r="G41" s="39">
        <f>F41*(1-E41)</f>
        <v>8.82</v>
      </c>
      <c r="H41" s="39">
        <f>F41*E41</f>
        <v>0</v>
      </c>
    </row>
    <row r="42" spans="1:9" x14ac:dyDescent="0.25">
      <c r="A42" s="7" t="s">
        <v>2</v>
      </c>
      <c r="B42" s="5">
        <v>1</v>
      </c>
      <c r="C42" s="119" t="s">
        <v>14</v>
      </c>
      <c r="D42" s="14">
        <v>3.28</v>
      </c>
      <c r="E42" s="34">
        <v>0</v>
      </c>
      <c r="F42" s="39">
        <f>D42*B42</f>
        <v>3.28</v>
      </c>
      <c r="G42" s="39">
        <f>F42*(1-E42)</f>
        <v>3.28</v>
      </c>
      <c r="H42" s="39">
        <f>F42*E42</f>
        <v>0</v>
      </c>
    </row>
    <row r="43" spans="1:9" x14ac:dyDescent="0.25">
      <c r="A43" s="7" t="s">
        <v>32</v>
      </c>
      <c r="B43" s="5">
        <f>B37</f>
        <v>7</v>
      </c>
      <c r="C43" s="119" t="s">
        <v>29</v>
      </c>
      <c r="D43" s="14">
        <v>4.04</v>
      </c>
      <c r="E43" s="34">
        <v>0</v>
      </c>
      <c r="F43" s="39">
        <f>D43*B43</f>
        <v>28.28</v>
      </c>
      <c r="G43" s="39">
        <f>F43*(1-E43)</f>
        <v>28.28</v>
      </c>
      <c r="H43" s="39">
        <f>F43*E43</f>
        <v>0</v>
      </c>
    </row>
    <row r="44" spans="1:9" x14ac:dyDescent="0.25">
      <c r="A44" s="7" t="s">
        <v>204</v>
      </c>
      <c r="B44" s="5">
        <v>1</v>
      </c>
      <c r="C44" s="119" t="s">
        <v>14</v>
      </c>
      <c r="D44" s="14">
        <v>0</v>
      </c>
      <c r="E44" s="34">
        <v>1</v>
      </c>
      <c r="F44" s="39">
        <f>D44*B44</f>
        <v>0</v>
      </c>
      <c r="G44" s="39">
        <f>F44*(1-E44)</f>
        <v>0</v>
      </c>
      <c r="H44" s="39">
        <f>F44*E44</f>
        <v>0</v>
      </c>
    </row>
    <row r="45" spans="1:9" x14ac:dyDescent="0.25">
      <c r="A45" s="7" t="s">
        <v>33</v>
      </c>
      <c r="B45" s="5">
        <v>1</v>
      </c>
      <c r="C45" s="119" t="s">
        <v>14</v>
      </c>
      <c r="D45" s="14">
        <v>5.52</v>
      </c>
      <c r="E45" s="34">
        <v>0</v>
      </c>
      <c r="F45" s="39">
        <f>D45*B45</f>
        <v>5.52</v>
      </c>
      <c r="G45" s="39">
        <f>F45*(1-E45)</f>
        <v>5.52</v>
      </c>
      <c r="H45" s="39">
        <f>F45*E45</f>
        <v>0</v>
      </c>
    </row>
    <row r="46" spans="1:9" x14ac:dyDescent="0.25">
      <c r="A46" s="4" t="s">
        <v>34</v>
      </c>
      <c r="B46" s="89">
        <f>'Universal Input Prices'!$B$35</f>
        <v>5.3999999999999999E-2</v>
      </c>
      <c r="C46" s="119"/>
      <c r="D46" s="22"/>
      <c r="E46" s="36"/>
      <c r="F46" s="158">
        <f>(SUM(F15:F23,F26:F45))*$B46/2.1</f>
        <v>6.2642892214285704</v>
      </c>
      <c r="G46" s="158">
        <f t="shared" ref="G46:H46" si="3">(SUM(G15:G23,G26:G45))*$B46/2</f>
        <v>5.3070184293749998</v>
      </c>
      <c r="H46" s="158">
        <f t="shared" si="3"/>
        <v>1.2704852531250002</v>
      </c>
    </row>
    <row r="47" spans="1:9" x14ac:dyDescent="0.25">
      <c r="A47" s="4"/>
      <c r="B47" s="10"/>
      <c r="C47" s="119"/>
      <c r="D47" s="8"/>
      <c r="E47" s="35"/>
      <c r="F47" s="39"/>
      <c r="G47" s="39"/>
      <c r="H47" s="39"/>
    </row>
    <row r="48" spans="1:9" x14ac:dyDescent="0.25">
      <c r="A48" s="4" t="s">
        <v>205</v>
      </c>
      <c r="B48" s="10"/>
      <c r="C48" s="119"/>
      <c r="D48" s="8"/>
      <c r="E48" s="38"/>
      <c r="F48" s="39">
        <f>SUM(F15:F46)</f>
        <v>283.87553672142849</v>
      </c>
      <c r="G48" s="39">
        <f>SUM(G15:G46)</f>
        <v>224.643256554375</v>
      </c>
      <c r="H48" s="39">
        <f>SUM(H15:H46)</f>
        <v>59.545494628124999</v>
      </c>
    </row>
    <row r="49" spans="1:8" ht="13.8" x14ac:dyDescent="0.25">
      <c r="A49" s="12" t="s">
        <v>206</v>
      </c>
      <c r="B49" s="10"/>
      <c r="C49" s="119"/>
      <c r="D49" s="8"/>
      <c r="E49" s="35"/>
      <c r="F49" s="72">
        <f>F12-F48</f>
        <v>46.124463278571511</v>
      </c>
      <c r="G49" s="72">
        <f>G12-G48</f>
        <v>-3.5432565543750343</v>
      </c>
      <c r="H49" s="72">
        <f>H12-H48</f>
        <v>49.354505371875007</v>
      </c>
    </row>
    <row r="50" spans="1:8" x14ac:dyDescent="0.25">
      <c r="A50" s="4"/>
      <c r="B50" s="10"/>
      <c r="C50" s="119"/>
      <c r="D50" s="8"/>
      <c r="E50" s="35"/>
      <c r="F50" s="39"/>
      <c r="G50" s="39"/>
      <c r="H50" s="39"/>
    </row>
    <row r="51" spans="1:8" x14ac:dyDescent="0.25">
      <c r="A51" s="4" t="s">
        <v>208</v>
      </c>
      <c r="B51" s="10"/>
      <c r="C51" s="119"/>
      <c r="D51" s="8"/>
      <c r="E51" s="45"/>
      <c r="F51" s="39"/>
      <c r="G51" s="39"/>
      <c r="H51" s="39"/>
    </row>
    <row r="52" spans="1:8" x14ac:dyDescent="0.25">
      <c r="A52" s="7" t="s">
        <v>31</v>
      </c>
      <c r="B52" s="5">
        <v>1</v>
      </c>
      <c r="C52" s="119" t="s">
        <v>14</v>
      </c>
      <c r="D52" s="14">
        <v>14.08</v>
      </c>
      <c r="E52" s="34">
        <v>0</v>
      </c>
      <c r="F52" s="39">
        <f t="shared" ref="F52:F57" si="4">D52*B52</f>
        <v>14.08</v>
      </c>
      <c r="G52" s="39">
        <f t="shared" ref="G52:G60" si="5">F52*(1-E52)</f>
        <v>14.08</v>
      </c>
      <c r="H52" s="39">
        <f t="shared" ref="H52:H60" si="6">F52*E52</f>
        <v>0</v>
      </c>
    </row>
    <row r="53" spans="1:8" x14ac:dyDescent="0.25">
      <c r="A53" s="7" t="s">
        <v>2</v>
      </c>
      <c r="B53" s="5">
        <v>1</v>
      </c>
      <c r="C53" s="119" t="s">
        <v>14</v>
      </c>
      <c r="D53" s="14">
        <v>4.88</v>
      </c>
      <c r="E53" s="34">
        <v>0</v>
      </c>
      <c r="F53" s="39">
        <f t="shared" si="4"/>
        <v>4.88</v>
      </c>
      <c r="G53" s="39">
        <f t="shared" si="5"/>
        <v>4.88</v>
      </c>
      <c r="H53" s="39">
        <f t="shared" si="6"/>
        <v>0</v>
      </c>
    </row>
    <row r="54" spans="1:8" x14ac:dyDescent="0.25">
      <c r="A54" s="2" t="s">
        <v>273</v>
      </c>
      <c r="B54" s="5">
        <v>1</v>
      </c>
      <c r="C54" s="119" t="s">
        <v>14</v>
      </c>
      <c r="D54" s="14">
        <v>28.8</v>
      </c>
      <c r="E54" s="34">
        <v>0</v>
      </c>
      <c r="F54" s="39">
        <f t="shared" si="4"/>
        <v>28.8</v>
      </c>
      <c r="G54" s="39">
        <f t="shared" si="5"/>
        <v>28.8</v>
      </c>
      <c r="H54" s="39">
        <f t="shared" si="6"/>
        <v>0</v>
      </c>
    </row>
    <row r="55" spans="1:8" x14ac:dyDescent="0.25">
      <c r="A55" s="7" t="s">
        <v>204</v>
      </c>
      <c r="B55" s="5">
        <v>1</v>
      </c>
      <c r="C55" s="119" t="s">
        <v>14</v>
      </c>
      <c r="D55" s="14">
        <v>0</v>
      </c>
      <c r="E55" s="34">
        <v>1</v>
      </c>
      <c r="F55" s="39">
        <f t="shared" si="4"/>
        <v>0</v>
      </c>
      <c r="G55" s="39">
        <f t="shared" si="5"/>
        <v>0</v>
      </c>
      <c r="H55" s="39">
        <f t="shared" si="6"/>
        <v>0</v>
      </c>
    </row>
    <row r="56" spans="1:8" x14ac:dyDescent="0.25">
      <c r="A56" s="7" t="s">
        <v>33</v>
      </c>
      <c r="B56" s="5">
        <v>1</v>
      </c>
      <c r="C56" s="119" t="s">
        <v>14</v>
      </c>
      <c r="D56" s="14">
        <v>8.0500000000000007</v>
      </c>
      <c r="E56" s="34">
        <v>0</v>
      </c>
      <c r="F56" s="39">
        <f t="shared" si="4"/>
        <v>8.0500000000000007</v>
      </c>
      <c r="G56" s="39">
        <f t="shared" si="5"/>
        <v>8.0500000000000007</v>
      </c>
      <c r="H56" s="39">
        <f t="shared" si="6"/>
        <v>0</v>
      </c>
    </row>
    <row r="57" spans="1:8" x14ac:dyDescent="0.25">
      <c r="A57" s="7" t="s">
        <v>35</v>
      </c>
      <c r="B57" s="5">
        <v>1</v>
      </c>
      <c r="C57" s="119" t="s">
        <v>14</v>
      </c>
      <c r="D57" s="14">
        <v>0</v>
      </c>
      <c r="E57" s="34">
        <v>0</v>
      </c>
      <c r="F57" s="39">
        <f t="shared" si="4"/>
        <v>0</v>
      </c>
      <c r="G57" s="39">
        <f t="shared" si="5"/>
        <v>0</v>
      </c>
      <c r="H57" s="39">
        <f t="shared" si="6"/>
        <v>0</v>
      </c>
    </row>
    <row r="58" spans="1:8" x14ac:dyDescent="0.25">
      <c r="A58" s="2" t="s">
        <v>272</v>
      </c>
      <c r="B58" s="5">
        <v>1</v>
      </c>
      <c r="C58" s="119" t="s">
        <v>14</v>
      </c>
      <c r="D58" s="14">
        <v>24.62</v>
      </c>
      <c r="E58" s="34">
        <v>0</v>
      </c>
      <c r="F58" s="39">
        <f>B58*D58</f>
        <v>24.62</v>
      </c>
      <c r="G58" s="39">
        <f t="shared" si="5"/>
        <v>24.62</v>
      </c>
      <c r="H58" s="39">
        <f t="shared" si="6"/>
        <v>0</v>
      </c>
    </row>
    <row r="59" spans="1:8" x14ac:dyDescent="0.25">
      <c r="A59" s="7" t="s">
        <v>36</v>
      </c>
      <c r="B59" s="43">
        <v>1</v>
      </c>
      <c r="C59" s="119" t="s">
        <v>14</v>
      </c>
      <c r="D59" s="14">
        <v>72</v>
      </c>
      <c r="E59" s="34">
        <v>1</v>
      </c>
      <c r="F59" s="39">
        <f>D59*B59</f>
        <v>72</v>
      </c>
      <c r="G59" s="39">
        <f>IF($H$6="Cash",D59,F59*(1-E59))</f>
        <v>0</v>
      </c>
      <c r="H59" s="39">
        <f>IF($H$6="Cash",0,F59*E59)</f>
        <v>72</v>
      </c>
    </row>
    <row r="60" spans="1:8" x14ac:dyDescent="0.25">
      <c r="A60" s="7" t="s">
        <v>42</v>
      </c>
      <c r="B60" s="43">
        <v>1</v>
      </c>
      <c r="C60" s="119" t="s">
        <v>14</v>
      </c>
      <c r="D60" s="14">
        <v>0</v>
      </c>
      <c r="E60" s="34">
        <v>1</v>
      </c>
      <c r="F60" s="39">
        <f>B60*D60</f>
        <v>0</v>
      </c>
      <c r="G60" s="39">
        <f t="shared" si="5"/>
        <v>0</v>
      </c>
      <c r="H60" s="39">
        <f t="shared" si="6"/>
        <v>0</v>
      </c>
    </row>
    <row r="61" spans="1:8" x14ac:dyDescent="0.25">
      <c r="A61" s="4" t="s">
        <v>37</v>
      </c>
      <c r="B61" s="5"/>
      <c r="C61" s="119"/>
      <c r="D61" s="10"/>
      <c r="E61" s="36"/>
      <c r="F61" s="39">
        <f>SUM(F52:F60)</f>
        <v>152.43</v>
      </c>
      <c r="G61" s="39">
        <f>SUM(G52:G60)</f>
        <v>80.430000000000007</v>
      </c>
      <c r="H61" s="39">
        <f>SUM(H52:H60)</f>
        <v>72</v>
      </c>
    </row>
    <row r="62" spans="1:8" x14ac:dyDescent="0.25">
      <c r="A62" s="4" t="s">
        <v>38</v>
      </c>
      <c r="B62" s="5"/>
      <c r="C62" s="119"/>
      <c r="D62" s="10"/>
      <c r="E62" s="36"/>
      <c r="F62" s="39">
        <f>F48+F61</f>
        <v>436.3055367214285</v>
      </c>
      <c r="G62" s="39">
        <f>G48+G61</f>
        <v>305.07325655437501</v>
      </c>
      <c r="H62" s="39">
        <f>H48+H61</f>
        <v>131.545494628125</v>
      </c>
    </row>
    <row r="63" spans="1:8" ht="13.8" x14ac:dyDescent="0.25">
      <c r="A63" s="12" t="s">
        <v>39</v>
      </c>
      <c r="B63" s="31"/>
      <c r="C63" s="141"/>
      <c r="D63" s="30"/>
      <c r="E63" s="73"/>
      <c r="F63" s="72">
        <f>F12-F62</f>
        <v>-106.3055367214285</v>
      </c>
      <c r="G63" s="72">
        <f>G12-G62</f>
        <v>-83.973256554375041</v>
      </c>
      <c r="H63" s="72">
        <f>H12-H62</f>
        <v>-22.645494628124993</v>
      </c>
    </row>
    <row r="64" spans="1:8" ht="12" customHeight="1" x14ac:dyDescent="0.25">
      <c r="A64" s="4"/>
      <c r="B64" s="5"/>
      <c r="C64" s="119"/>
      <c r="D64" s="10"/>
      <c r="E64" s="36"/>
      <c r="F64" s="8"/>
      <c r="G64" s="8"/>
      <c r="H64" s="8"/>
    </row>
    <row r="65" spans="1:8" ht="13.8" x14ac:dyDescent="0.25">
      <c r="A65" s="113" t="s">
        <v>161</v>
      </c>
      <c r="B65" s="113"/>
      <c r="C65" s="266"/>
      <c r="D65" s="113"/>
      <c r="E65" s="114"/>
      <c r="F65" s="115">
        <f>(F63/F62)</f>
        <v>-0.24364929567534285</v>
      </c>
      <c r="G65" s="115">
        <f t="shared" ref="G65:H65" si="7">(G63/G62)</f>
        <v>-0.27525604014853394</v>
      </c>
      <c r="H65" s="115">
        <f t="shared" si="7"/>
        <v>-0.17214952661163424</v>
      </c>
    </row>
    <row r="66" spans="1:8" x14ac:dyDescent="0.25">
      <c r="B66" s="41"/>
      <c r="C66" s="270"/>
      <c r="D66" s="46"/>
      <c r="E66" s="36"/>
      <c r="F66" s="42"/>
      <c r="G66" s="4"/>
      <c r="H66" s="4"/>
    </row>
    <row r="67" spans="1:8" x14ac:dyDescent="0.25">
      <c r="B67" s="4"/>
      <c r="C67" s="4"/>
      <c r="D67" s="4"/>
      <c r="E67" s="10"/>
      <c r="F67" s="4"/>
      <c r="G67" s="4"/>
      <c r="H67" s="4"/>
    </row>
    <row r="68" spans="1:8" x14ac:dyDescent="0.25">
      <c r="B68" s="4"/>
      <c r="C68" s="4"/>
      <c r="D68" s="4"/>
      <c r="E68" s="10"/>
      <c r="F68" s="4"/>
      <c r="G68" s="4"/>
      <c r="H68" s="4"/>
    </row>
    <row r="69" spans="1:8" x14ac:dyDescent="0.25">
      <c r="B69" s="4"/>
      <c r="C69" s="4"/>
      <c r="D69" s="4"/>
      <c r="E69" s="10"/>
      <c r="F69" s="4"/>
      <c r="G69" s="4"/>
      <c r="H69" s="4"/>
    </row>
    <row r="70" spans="1:8" x14ac:dyDescent="0.25">
      <c r="B70" s="4"/>
      <c r="C70" s="4"/>
      <c r="D70" s="4"/>
      <c r="E70" s="4"/>
      <c r="F70" s="4"/>
      <c r="G70" s="4"/>
      <c r="H70" s="4"/>
    </row>
    <row r="71" spans="1:8" x14ac:dyDescent="0.25">
      <c r="B71" s="4"/>
      <c r="C71" s="4"/>
      <c r="D71" s="4"/>
      <c r="E71" s="46"/>
      <c r="F71" s="4"/>
      <c r="G71" s="4"/>
      <c r="H71" s="4"/>
    </row>
    <row r="72" spans="1:8" x14ac:dyDescent="0.25">
      <c r="B72" s="4"/>
      <c r="C72" s="4"/>
      <c r="D72" s="4"/>
      <c r="E72" s="4"/>
      <c r="F72" s="4"/>
      <c r="G72" s="4"/>
      <c r="H72" s="4"/>
    </row>
    <row r="73" spans="1:8" x14ac:dyDescent="0.25">
      <c r="B73" s="4"/>
      <c r="C73" s="4"/>
      <c r="D73" s="4"/>
      <c r="E73" s="4"/>
      <c r="F73" s="4"/>
      <c r="G73" s="4"/>
      <c r="H73"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79" orientation="portrait" r:id="rId1"/>
  <headerFooter alignWithMargins="0">
    <oddFooter>&amp;C&amp;8Texas AgriLife Extension Service provides this software for educational use, solely on an “AS IS” basis and  assumes no liability for its use.</oddFooter>
  </headerFooter>
  <ignoredErrors>
    <ignoredError sqref="D18"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T71"/>
  <sheetViews>
    <sheetView showGridLines="0" showRowColHeaders="0" zoomScale="90" zoomScaleNormal="90" workbookViewId="0">
      <pane ySplit="7" topLeftCell="A38" activePane="bottomLeft" state="frozen"/>
      <selection activeCell="B9" sqref="B9"/>
      <selection pane="bottomLeft" activeCell="B9" sqref="B9"/>
    </sheetView>
  </sheetViews>
  <sheetFormatPr defaultRowHeight="13.2" x14ac:dyDescent="0.25"/>
  <cols>
    <col min="1" max="1" width="35.5546875" customWidth="1"/>
    <col min="2" max="8" width="10.5546875" customWidth="1"/>
    <col min="9" max="9" width="9.55468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266</v>
      </c>
      <c r="B3" s="319"/>
      <c r="C3" s="319"/>
      <c r="D3" s="319"/>
      <c r="E3" s="319"/>
      <c r="F3" s="319"/>
      <c r="G3" s="319"/>
      <c r="H3" s="319"/>
      <c r="I3" s="4"/>
      <c r="J3" s="4"/>
      <c r="K3" s="4"/>
      <c r="L3" s="4"/>
    </row>
    <row r="4" spans="1:20" ht="15" x14ac:dyDescent="0.25">
      <c r="A4" s="319" t="s">
        <v>269</v>
      </c>
      <c r="B4" s="319"/>
      <c r="C4" s="319"/>
      <c r="D4" s="319"/>
      <c r="E4" s="319"/>
      <c r="F4" s="319"/>
      <c r="G4" s="319"/>
      <c r="H4" s="319"/>
      <c r="I4" s="4"/>
      <c r="J4" s="4"/>
      <c r="K4" s="4"/>
      <c r="L4" s="4"/>
    </row>
    <row r="5" spans="1:20" ht="13.8" x14ac:dyDescent="0.25">
      <c r="A5" s="4"/>
      <c r="B5" s="40"/>
      <c r="C5" s="40"/>
      <c r="D5" s="40"/>
      <c r="E5" s="40"/>
      <c r="G5" s="245"/>
      <c r="H5" s="242" t="s">
        <v>102</v>
      </c>
      <c r="I5" s="69" t="s">
        <v>55</v>
      </c>
      <c r="J5" s="40"/>
      <c r="K5" s="4"/>
      <c r="L5" s="4"/>
      <c r="S5" s="1"/>
      <c r="T5" s="1"/>
    </row>
    <row r="6" spans="1:20" ht="13.8" x14ac:dyDescent="0.25">
      <c r="A6" s="4" t="s">
        <v>3</v>
      </c>
      <c r="B6" s="119" t="s">
        <v>4</v>
      </c>
      <c r="C6" s="119" t="s">
        <v>5</v>
      </c>
      <c r="D6" s="119" t="s">
        <v>6</v>
      </c>
      <c r="E6" s="119" t="s">
        <v>53</v>
      </c>
      <c r="F6" s="244" t="s">
        <v>151</v>
      </c>
      <c r="G6" s="244"/>
      <c r="H6" s="112" t="s">
        <v>55</v>
      </c>
      <c r="I6" s="70" t="s">
        <v>103</v>
      </c>
      <c r="J6" s="5"/>
      <c r="K6" s="41"/>
      <c r="L6" s="4"/>
    </row>
    <row r="7" spans="1:20" x14ac:dyDescent="0.25">
      <c r="A7" s="4"/>
      <c r="B7" s="5"/>
      <c r="C7" s="5"/>
      <c r="D7" s="5"/>
      <c r="E7" s="119" t="s">
        <v>55</v>
      </c>
      <c r="F7" s="119" t="s">
        <v>56</v>
      </c>
      <c r="G7" s="119" t="s">
        <v>52</v>
      </c>
      <c r="H7" s="119" t="s">
        <v>53</v>
      </c>
      <c r="J7" s="6"/>
      <c r="K7" s="4"/>
      <c r="L7" s="4"/>
    </row>
    <row r="8" spans="1:20" x14ac:dyDescent="0.25">
      <c r="A8" s="4" t="s">
        <v>7</v>
      </c>
      <c r="B8" s="5"/>
      <c r="C8" s="5"/>
      <c r="D8" s="5"/>
      <c r="E8" s="5"/>
      <c r="F8" s="5"/>
      <c r="G8" s="5"/>
      <c r="H8" s="5"/>
      <c r="J8" s="6"/>
      <c r="K8" s="4"/>
      <c r="L8" s="4"/>
    </row>
    <row r="9" spans="1:20" x14ac:dyDescent="0.25">
      <c r="A9" s="2" t="s">
        <v>267</v>
      </c>
      <c r="B9" s="47">
        <v>10</v>
      </c>
      <c r="C9" s="119" t="s">
        <v>51</v>
      </c>
      <c r="D9" s="55">
        <f>'Universal Input Prices'!$B$17</f>
        <v>31.6</v>
      </c>
      <c r="E9" s="34">
        <v>0.33</v>
      </c>
      <c r="F9" s="39">
        <f>D9*B9</f>
        <v>316</v>
      </c>
      <c r="G9" s="39">
        <f>F9*(1-E9)</f>
        <v>211.71999999999997</v>
      </c>
      <c r="H9" s="39">
        <f>IF(H6="Cash", D57,F9*E9)</f>
        <v>104.28</v>
      </c>
      <c r="J9" s="8"/>
      <c r="K9" s="64"/>
      <c r="L9" s="4"/>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6"/>
      <c r="D11" s="8"/>
      <c r="E11" s="36"/>
      <c r="F11" s="39"/>
      <c r="G11" s="39"/>
      <c r="H11" s="39"/>
      <c r="I11" s="20"/>
      <c r="J11" s="6"/>
      <c r="K11" s="4"/>
      <c r="L11" s="4"/>
    </row>
    <row r="12" spans="1:20" x14ac:dyDescent="0.25">
      <c r="A12" s="4" t="s">
        <v>12</v>
      </c>
      <c r="B12" s="5"/>
      <c r="C12" s="5"/>
      <c r="D12" s="8"/>
      <c r="E12" s="36"/>
      <c r="F12" s="39">
        <f>SUM(F7:F11)</f>
        <v>316</v>
      </c>
      <c r="G12" s="39">
        <f>SUM(G7:G11)</f>
        <v>211.71999999999997</v>
      </c>
      <c r="H12" s="39">
        <f>SUM(H7:H11)</f>
        <v>104.28</v>
      </c>
      <c r="I12" s="20"/>
      <c r="J12" s="8"/>
      <c r="K12" s="4"/>
      <c r="L12" s="4"/>
    </row>
    <row r="13" spans="1:20" x14ac:dyDescent="0.25">
      <c r="A13" s="4"/>
      <c r="B13" s="5"/>
      <c r="C13" s="5"/>
      <c r="D13" s="8"/>
      <c r="E13" s="36"/>
      <c r="F13" s="39"/>
      <c r="G13" s="39"/>
      <c r="H13" s="39"/>
      <c r="I13" s="6"/>
      <c r="J13" s="6"/>
      <c r="K13" s="4"/>
      <c r="L13" s="4"/>
    </row>
    <row r="14" spans="1:20" x14ac:dyDescent="0.25">
      <c r="A14" s="4" t="s">
        <v>207</v>
      </c>
      <c r="B14" s="5"/>
      <c r="C14" s="5"/>
      <c r="D14" s="8"/>
      <c r="E14" s="36"/>
      <c r="F14" s="39"/>
      <c r="G14" s="39"/>
      <c r="H14" s="39"/>
      <c r="I14" s="6"/>
      <c r="J14" s="6"/>
      <c r="K14" s="4"/>
      <c r="L14" s="4"/>
    </row>
    <row r="15" spans="1:20" x14ac:dyDescent="0.25">
      <c r="A15" s="4" t="s">
        <v>1</v>
      </c>
      <c r="B15" s="28">
        <v>0.6</v>
      </c>
      <c r="C15" s="128" t="s">
        <v>54</v>
      </c>
      <c r="D15" s="14">
        <v>36.6</v>
      </c>
      <c r="E15" s="34">
        <v>0</v>
      </c>
      <c r="F15" s="39">
        <f>D15*B15</f>
        <v>21.96</v>
      </c>
      <c r="G15" s="39">
        <f>F15*(1-E15)</f>
        <v>21.96</v>
      </c>
      <c r="H15" s="39">
        <f>F15*E15</f>
        <v>0</v>
      </c>
      <c r="I15" s="21"/>
      <c r="J15" s="8"/>
      <c r="K15" s="4"/>
      <c r="L15" s="4"/>
    </row>
    <row r="16" spans="1:20" x14ac:dyDescent="0.25">
      <c r="A16" s="4" t="s">
        <v>0</v>
      </c>
      <c r="B16" s="26"/>
      <c r="C16" s="119"/>
      <c r="D16" s="15"/>
      <c r="E16" s="36"/>
      <c r="F16" s="39"/>
      <c r="G16" s="39"/>
      <c r="H16" s="39"/>
      <c r="I16" s="6"/>
      <c r="J16" s="6"/>
      <c r="K16" s="4"/>
      <c r="L16" s="4"/>
    </row>
    <row r="17" spans="1:12" x14ac:dyDescent="0.25">
      <c r="A17" s="302" t="s">
        <v>255</v>
      </c>
      <c r="B17" s="24">
        <v>60</v>
      </c>
      <c r="C17" s="119" t="s">
        <v>79</v>
      </c>
      <c r="D17" s="54">
        <f>IF(A17="",0,VLOOKUP(A17,'Universal Input Prices'!$A$26:$B$30, 2))</f>
        <v>0.25000000000000006</v>
      </c>
      <c r="E17" s="34">
        <v>0.33</v>
      </c>
      <c r="F17" s="39">
        <f>D17*B17</f>
        <v>15.000000000000004</v>
      </c>
      <c r="G17" s="39">
        <f>F17*(1-E17)</f>
        <v>10.050000000000001</v>
      </c>
      <c r="H17" s="39">
        <f>F17*E17</f>
        <v>4.9500000000000011</v>
      </c>
      <c r="I17" s="21"/>
      <c r="J17" s="8"/>
      <c r="K17" s="4"/>
      <c r="L17" s="4"/>
    </row>
    <row r="18" spans="1:12" x14ac:dyDescent="0.25">
      <c r="A18" s="302" t="s">
        <v>136</v>
      </c>
      <c r="B18" s="24">
        <v>40</v>
      </c>
      <c r="C18" s="119" t="s">
        <v>79</v>
      </c>
      <c r="D18" s="54">
        <f>IF(A18="",0,VLOOKUP(A18,'Universal Input Prices'!$A$26:$B$30, 2))</f>
        <v>0.47</v>
      </c>
      <c r="E18" s="34">
        <v>0.33</v>
      </c>
      <c r="F18" s="39">
        <f>D18*B18</f>
        <v>18.799999999999997</v>
      </c>
      <c r="G18" s="39">
        <f>F18*(1-E18)</f>
        <v>12.595999999999997</v>
      </c>
      <c r="H18" s="39">
        <f>F18*E18</f>
        <v>6.2039999999999997</v>
      </c>
      <c r="I18" s="21"/>
      <c r="J18" s="8"/>
      <c r="K18" s="4"/>
      <c r="L18" s="4"/>
    </row>
    <row r="19" spans="1:12" x14ac:dyDescent="0.25">
      <c r="A19" s="302" t="s">
        <v>135</v>
      </c>
      <c r="B19" s="24">
        <v>30</v>
      </c>
      <c r="C19" s="119" t="s">
        <v>79</v>
      </c>
      <c r="D19" s="54">
        <f>IF(A19="",0,VLOOKUP(A19,'Universal Input Prices'!$A$26:$B$30, 2))</f>
        <v>0.41015625</v>
      </c>
      <c r="E19" s="34">
        <v>0</v>
      </c>
      <c r="F19" s="39">
        <f>D19*B19</f>
        <v>12.3046875</v>
      </c>
      <c r="G19" s="39">
        <f>F19*(1-E19)</f>
        <v>12.3046875</v>
      </c>
      <c r="H19" s="39">
        <f>F19*E19</f>
        <v>0</v>
      </c>
      <c r="I19" s="4"/>
    </row>
    <row r="20" spans="1:12" x14ac:dyDescent="0.25">
      <c r="A20" s="4" t="s">
        <v>15</v>
      </c>
      <c r="B20" s="27"/>
      <c r="C20" s="119"/>
      <c r="D20" s="8"/>
      <c r="E20" s="36"/>
      <c r="F20" s="39"/>
      <c r="G20" s="39"/>
      <c r="H20" s="39"/>
      <c r="I20" s="6"/>
      <c r="J20" s="6"/>
      <c r="K20" s="4"/>
      <c r="L20" s="4"/>
    </row>
    <row r="21" spans="1:12" x14ac:dyDescent="0.25">
      <c r="A21" s="2" t="s">
        <v>236</v>
      </c>
      <c r="B21" s="24">
        <v>1</v>
      </c>
      <c r="C21" s="119" t="s">
        <v>14</v>
      </c>
      <c r="D21" s="14">
        <v>0</v>
      </c>
      <c r="E21" s="34">
        <v>0.33</v>
      </c>
      <c r="F21" s="39">
        <f t="shared" ref="F21:F35" si="0">D21*B21</f>
        <v>0</v>
      </c>
      <c r="G21" s="39">
        <f t="shared" ref="G21:G43" si="1">F21*(1-E21)</f>
        <v>0</v>
      </c>
      <c r="H21" s="39">
        <f t="shared" ref="H21:H43" si="2">F21*E21</f>
        <v>0</v>
      </c>
      <c r="I21" s="21"/>
      <c r="J21" s="8"/>
      <c r="K21" s="4"/>
      <c r="L21" s="4"/>
    </row>
    <row r="22" spans="1:12" x14ac:dyDescent="0.25">
      <c r="A22" s="7" t="s">
        <v>43</v>
      </c>
      <c r="B22" s="24">
        <v>1</v>
      </c>
      <c r="C22" s="119" t="s">
        <v>14</v>
      </c>
      <c r="D22" s="14">
        <v>15</v>
      </c>
      <c r="E22" s="34">
        <v>0.33</v>
      </c>
      <c r="F22" s="39">
        <f t="shared" si="0"/>
        <v>15</v>
      </c>
      <c r="G22" s="39">
        <f t="shared" si="1"/>
        <v>10.049999999999999</v>
      </c>
      <c r="H22" s="39">
        <f t="shared" si="2"/>
        <v>4.95</v>
      </c>
      <c r="I22" s="21"/>
      <c r="J22" s="8"/>
      <c r="K22" s="4"/>
      <c r="L22" s="4"/>
    </row>
    <row r="23" spans="1:12" x14ac:dyDescent="0.25">
      <c r="A23" s="2" t="s">
        <v>237</v>
      </c>
      <c r="B23" s="24">
        <v>1</v>
      </c>
      <c r="C23" s="119" t="s">
        <v>14</v>
      </c>
      <c r="D23" s="14">
        <v>8.9</v>
      </c>
      <c r="E23" s="34">
        <v>0.33</v>
      </c>
      <c r="F23" s="39">
        <f t="shared" si="0"/>
        <v>8.9</v>
      </c>
      <c r="G23" s="39">
        <f t="shared" si="1"/>
        <v>5.9629999999999992</v>
      </c>
      <c r="H23" s="39">
        <f t="shared" si="2"/>
        <v>2.9370000000000003</v>
      </c>
      <c r="I23" s="21"/>
      <c r="J23" s="8"/>
      <c r="K23" s="4"/>
      <c r="L23" s="4"/>
    </row>
    <row r="24" spans="1:12" x14ac:dyDescent="0.25">
      <c r="A24" s="7" t="s">
        <v>47</v>
      </c>
      <c r="B24" s="48">
        <f>$B$9</f>
        <v>10</v>
      </c>
      <c r="C24" s="119" t="s">
        <v>51</v>
      </c>
      <c r="D24" s="14">
        <v>9</v>
      </c>
      <c r="E24" s="34">
        <v>0</v>
      </c>
      <c r="F24" s="39">
        <f t="shared" si="0"/>
        <v>90</v>
      </c>
      <c r="G24" s="39">
        <f t="shared" si="1"/>
        <v>90</v>
      </c>
      <c r="H24" s="39">
        <f t="shared" si="2"/>
        <v>0</v>
      </c>
      <c r="I24" s="21"/>
      <c r="J24" s="8"/>
      <c r="K24" s="4"/>
      <c r="L24" s="4"/>
    </row>
    <row r="25" spans="1:12" x14ac:dyDescent="0.25">
      <c r="A25" s="7" t="s">
        <v>49</v>
      </c>
      <c r="B25" s="24">
        <v>1</v>
      </c>
      <c r="C25" s="119" t="s">
        <v>14</v>
      </c>
      <c r="D25" s="14">
        <v>0</v>
      </c>
      <c r="E25" s="34">
        <v>0</v>
      </c>
      <c r="F25" s="39">
        <f t="shared" si="0"/>
        <v>0</v>
      </c>
      <c r="G25" s="39">
        <f t="shared" si="1"/>
        <v>0</v>
      </c>
      <c r="H25" s="39">
        <f t="shared" si="2"/>
        <v>0</v>
      </c>
      <c r="I25" s="21"/>
      <c r="J25" s="8"/>
      <c r="K25" s="4"/>
      <c r="L25" s="4"/>
    </row>
    <row r="26" spans="1:12" x14ac:dyDescent="0.25">
      <c r="A26" s="2" t="s">
        <v>21</v>
      </c>
      <c r="B26" s="24">
        <v>1</v>
      </c>
      <c r="C26" s="119" t="s">
        <v>14</v>
      </c>
      <c r="D26" s="14">
        <v>0</v>
      </c>
      <c r="E26" s="34">
        <v>0</v>
      </c>
      <c r="F26" s="39">
        <f>D26*B26</f>
        <v>0</v>
      </c>
      <c r="G26" s="39">
        <f>F26*(1-E26)</f>
        <v>0</v>
      </c>
      <c r="H26" s="39">
        <f>F26*E26</f>
        <v>0</v>
      </c>
      <c r="I26" s="21"/>
      <c r="J26" s="8"/>
      <c r="K26" s="4"/>
      <c r="L26" s="4"/>
    </row>
    <row r="27" spans="1:12" x14ac:dyDescent="0.25">
      <c r="A27" s="16" t="s">
        <v>40</v>
      </c>
      <c r="B27" s="24">
        <v>1</v>
      </c>
      <c r="C27" s="265" t="s">
        <v>14</v>
      </c>
      <c r="D27" s="14">
        <v>0</v>
      </c>
      <c r="E27" s="34">
        <v>0</v>
      </c>
      <c r="F27" s="39">
        <f t="shared" si="0"/>
        <v>0</v>
      </c>
      <c r="G27" s="39">
        <f t="shared" si="1"/>
        <v>0</v>
      </c>
      <c r="H27" s="39">
        <f t="shared" si="2"/>
        <v>0</v>
      </c>
      <c r="I27" s="21"/>
      <c r="J27" s="8"/>
      <c r="K27" s="4"/>
      <c r="L27" s="4"/>
    </row>
    <row r="28" spans="1:12" x14ac:dyDescent="0.25">
      <c r="A28" s="16" t="s">
        <v>40</v>
      </c>
      <c r="B28" s="24">
        <v>1</v>
      </c>
      <c r="C28" s="265" t="s">
        <v>14</v>
      </c>
      <c r="D28" s="14">
        <v>0</v>
      </c>
      <c r="E28" s="34">
        <v>0</v>
      </c>
      <c r="F28" s="39">
        <f t="shared" si="0"/>
        <v>0</v>
      </c>
      <c r="G28" s="39">
        <f t="shared" si="1"/>
        <v>0</v>
      </c>
      <c r="H28" s="39">
        <f t="shared" si="2"/>
        <v>0</v>
      </c>
      <c r="I28" s="21"/>
      <c r="J28" s="8"/>
      <c r="K28" s="4"/>
      <c r="L28" s="4"/>
    </row>
    <row r="29" spans="1:12" x14ac:dyDescent="0.25">
      <c r="A29" s="16" t="s">
        <v>40</v>
      </c>
      <c r="B29" s="24">
        <v>1</v>
      </c>
      <c r="C29" s="265" t="s">
        <v>14</v>
      </c>
      <c r="D29" s="14">
        <v>0</v>
      </c>
      <c r="E29" s="34">
        <v>0</v>
      </c>
      <c r="F29" s="39">
        <f t="shared" si="0"/>
        <v>0</v>
      </c>
      <c r="G29" s="39">
        <f t="shared" si="1"/>
        <v>0</v>
      </c>
      <c r="H29" s="39">
        <f t="shared" si="2"/>
        <v>0</v>
      </c>
      <c r="I29" s="21"/>
      <c r="J29" s="8"/>
      <c r="K29" s="4"/>
      <c r="L29" s="4"/>
    </row>
    <row r="30" spans="1:12" x14ac:dyDescent="0.25">
      <c r="A30" s="4" t="s">
        <v>22</v>
      </c>
      <c r="B30" s="24">
        <v>1</v>
      </c>
      <c r="C30" s="119" t="s">
        <v>14</v>
      </c>
      <c r="D30" s="14">
        <v>0</v>
      </c>
      <c r="E30" s="34">
        <v>0.33</v>
      </c>
      <c r="F30" s="39">
        <f t="shared" si="0"/>
        <v>0</v>
      </c>
      <c r="G30" s="39">
        <f t="shared" si="1"/>
        <v>0</v>
      </c>
      <c r="H30" s="39">
        <f t="shared" si="2"/>
        <v>0</v>
      </c>
      <c r="I30" s="21"/>
      <c r="J30" s="8"/>
      <c r="K30" s="4"/>
      <c r="L30" s="4"/>
    </row>
    <row r="31" spans="1:12" x14ac:dyDescent="0.25">
      <c r="A31" s="4" t="s">
        <v>140</v>
      </c>
      <c r="B31" s="24">
        <v>0.85499999999999998</v>
      </c>
      <c r="C31" s="119" t="s">
        <v>48</v>
      </c>
      <c r="D31" s="55">
        <f>'Universal Input Prices'!$B$31</f>
        <v>12.45</v>
      </c>
      <c r="E31" s="34">
        <v>0</v>
      </c>
      <c r="F31" s="39">
        <f t="shared" si="0"/>
        <v>10.644749999999998</v>
      </c>
      <c r="G31" s="39">
        <f t="shared" si="1"/>
        <v>10.644749999999998</v>
      </c>
      <c r="H31" s="39">
        <f t="shared" si="2"/>
        <v>0</v>
      </c>
      <c r="I31" s="21"/>
      <c r="J31" s="8"/>
      <c r="K31" s="4"/>
      <c r="L31" s="4"/>
    </row>
    <row r="32" spans="1:12" x14ac:dyDescent="0.25">
      <c r="A32" s="4" t="s">
        <v>24</v>
      </c>
      <c r="B32" s="28">
        <v>0.96</v>
      </c>
      <c r="C32" s="119" t="s">
        <v>23</v>
      </c>
      <c r="D32" s="55">
        <f>'Universal Input Prices'!$B$31</f>
        <v>12.45</v>
      </c>
      <c r="E32" s="34">
        <v>0</v>
      </c>
      <c r="F32" s="39">
        <f t="shared" si="0"/>
        <v>11.951999999999998</v>
      </c>
      <c r="G32" s="39">
        <f t="shared" si="1"/>
        <v>11.951999999999998</v>
      </c>
      <c r="H32" s="39">
        <f t="shared" si="2"/>
        <v>0</v>
      </c>
      <c r="I32" s="21"/>
      <c r="J32" s="8"/>
      <c r="K32" s="4"/>
      <c r="L32" s="4"/>
    </row>
    <row r="33" spans="1:12" x14ac:dyDescent="0.25">
      <c r="A33" s="4" t="s">
        <v>25</v>
      </c>
      <c r="B33" s="28">
        <v>2.12</v>
      </c>
      <c r="C33" s="119" t="s">
        <v>26</v>
      </c>
      <c r="D33" s="55">
        <f>'Universal Input Prices'!$B$32</f>
        <v>1.81</v>
      </c>
      <c r="E33" s="34">
        <v>0</v>
      </c>
      <c r="F33" s="39">
        <f t="shared" si="0"/>
        <v>3.8372000000000002</v>
      </c>
      <c r="G33" s="39">
        <f t="shared" si="1"/>
        <v>3.8372000000000002</v>
      </c>
      <c r="H33" s="39">
        <f t="shared" si="2"/>
        <v>0</v>
      </c>
      <c r="I33" s="21"/>
      <c r="J33" s="8"/>
      <c r="K33" s="4"/>
      <c r="L33" s="4"/>
    </row>
    <row r="34" spans="1:12" x14ac:dyDescent="0.25">
      <c r="A34" s="4" t="s">
        <v>27</v>
      </c>
      <c r="B34" s="28">
        <v>2.0485000000000002</v>
      </c>
      <c r="C34" s="119" t="s">
        <v>26</v>
      </c>
      <c r="D34" s="55">
        <f>'Universal Input Prices'!$B$33</f>
        <v>1.9259999999999999</v>
      </c>
      <c r="E34" s="34">
        <v>0</v>
      </c>
      <c r="F34" s="39">
        <f t="shared" si="0"/>
        <v>3.9454110000000004</v>
      </c>
      <c r="G34" s="39">
        <f t="shared" si="1"/>
        <v>3.9454110000000004</v>
      </c>
      <c r="H34" s="39">
        <f t="shared" si="2"/>
        <v>0</v>
      </c>
      <c r="I34" s="21"/>
      <c r="J34" s="8"/>
      <c r="K34" s="4"/>
      <c r="L34" s="4"/>
    </row>
    <row r="35" spans="1:12" x14ac:dyDescent="0.25">
      <c r="A35" s="4" t="s">
        <v>28</v>
      </c>
      <c r="B35" s="28">
        <v>10</v>
      </c>
      <c r="C35" s="119" t="s">
        <v>29</v>
      </c>
      <c r="D35" s="55">
        <f>'Universal Input Prices'!$B$34</f>
        <v>3.6</v>
      </c>
      <c r="E35" s="34">
        <v>0.33</v>
      </c>
      <c r="F35" s="39">
        <f t="shared" si="0"/>
        <v>36</v>
      </c>
      <c r="G35" s="39">
        <f t="shared" si="1"/>
        <v>24.119999999999997</v>
      </c>
      <c r="H35" s="39">
        <f t="shared" si="2"/>
        <v>11.88</v>
      </c>
      <c r="I35" s="21"/>
      <c r="J35" s="8"/>
      <c r="K35" s="4"/>
      <c r="L35" s="4"/>
    </row>
    <row r="36" spans="1:12" hidden="1" x14ac:dyDescent="0.25">
      <c r="A36" s="4" t="s">
        <v>248</v>
      </c>
      <c r="B36" s="28">
        <v>70.040000000000006</v>
      </c>
      <c r="C36" s="119"/>
      <c r="D36" s="55"/>
      <c r="E36" s="34"/>
      <c r="F36" s="39"/>
      <c r="G36" s="39"/>
      <c r="H36" s="39"/>
      <c r="I36" s="4"/>
    </row>
    <row r="37" spans="1:12" hidden="1" x14ac:dyDescent="0.25">
      <c r="A37" s="4" t="s">
        <v>249</v>
      </c>
      <c r="B37" s="48">
        <f>B35*18.85694/B36</f>
        <v>2.6923101085094232</v>
      </c>
      <c r="C37" s="119"/>
      <c r="D37" s="55"/>
      <c r="E37" s="34"/>
      <c r="F37" s="39"/>
      <c r="G37" s="39"/>
      <c r="H37" s="39"/>
      <c r="I37" s="4"/>
    </row>
    <row r="38" spans="1:12" x14ac:dyDescent="0.25">
      <c r="A38" s="4" t="s">
        <v>30</v>
      </c>
      <c r="B38" s="5"/>
      <c r="C38" s="119"/>
      <c r="D38" s="15"/>
      <c r="E38" s="36"/>
      <c r="F38" s="39"/>
      <c r="G38" s="39">
        <f t="shared" si="1"/>
        <v>0</v>
      </c>
      <c r="H38" s="39">
        <f t="shared" si="2"/>
        <v>0</v>
      </c>
      <c r="I38" s="6"/>
      <c r="J38" s="6"/>
      <c r="K38" s="4"/>
      <c r="L38" s="4"/>
    </row>
    <row r="39" spans="1:12" x14ac:dyDescent="0.25">
      <c r="A39" s="7" t="s">
        <v>31</v>
      </c>
      <c r="B39" s="5">
        <v>1</v>
      </c>
      <c r="C39" s="119" t="s">
        <v>14</v>
      </c>
      <c r="D39" s="14">
        <v>11.98</v>
      </c>
      <c r="E39" s="34">
        <v>0</v>
      </c>
      <c r="F39" s="39">
        <f>D39*B39</f>
        <v>11.98</v>
      </c>
      <c r="G39" s="39">
        <f t="shared" si="1"/>
        <v>11.98</v>
      </c>
      <c r="H39" s="39">
        <f t="shared" si="2"/>
        <v>0</v>
      </c>
      <c r="I39" s="21"/>
      <c r="J39" s="8"/>
      <c r="K39" s="4"/>
      <c r="L39" s="4"/>
    </row>
    <row r="40" spans="1:12" x14ac:dyDescent="0.25">
      <c r="A40" s="7" t="s">
        <v>2</v>
      </c>
      <c r="B40" s="5">
        <v>1</v>
      </c>
      <c r="C40" s="119" t="s">
        <v>14</v>
      </c>
      <c r="D40" s="14">
        <v>3.78</v>
      </c>
      <c r="E40" s="34">
        <v>0</v>
      </c>
      <c r="F40" s="39">
        <f>D40*B40</f>
        <v>3.78</v>
      </c>
      <c r="G40" s="39">
        <f t="shared" si="1"/>
        <v>3.78</v>
      </c>
      <c r="H40" s="39">
        <f t="shared" si="2"/>
        <v>0</v>
      </c>
      <c r="I40" s="21"/>
      <c r="J40" s="8"/>
      <c r="K40" s="4"/>
      <c r="L40" s="4"/>
    </row>
    <row r="41" spans="1:12" x14ac:dyDescent="0.25">
      <c r="A41" s="7" t="s">
        <v>32</v>
      </c>
      <c r="B41" s="5">
        <f>B35</f>
        <v>10</v>
      </c>
      <c r="C41" s="119" t="s">
        <v>29</v>
      </c>
      <c r="D41" s="14">
        <v>4.04</v>
      </c>
      <c r="E41" s="34">
        <v>0</v>
      </c>
      <c r="F41" s="39">
        <f>D41*B41</f>
        <v>40.4</v>
      </c>
      <c r="G41" s="39">
        <f t="shared" si="1"/>
        <v>40.4</v>
      </c>
      <c r="H41" s="39">
        <f t="shared" si="2"/>
        <v>0</v>
      </c>
      <c r="I41" s="21"/>
      <c r="J41" s="8"/>
      <c r="K41" s="4"/>
      <c r="L41" s="4"/>
    </row>
    <row r="42" spans="1:12" x14ac:dyDescent="0.25">
      <c r="A42" s="7" t="s">
        <v>204</v>
      </c>
      <c r="B42" s="5">
        <v>1</v>
      </c>
      <c r="C42" s="119" t="s">
        <v>14</v>
      </c>
      <c r="D42" s="14">
        <v>0</v>
      </c>
      <c r="E42" s="34">
        <v>1</v>
      </c>
      <c r="F42" s="39">
        <f>D42*B42</f>
        <v>0</v>
      </c>
      <c r="G42" s="39">
        <f t="shared" si="1"/>
        <v>0</v>
      </c>
      <c r="H42" s="39">
        <f t="shared" si="2"/>
        <v>0</v>
      </c>
      <c r="I42" s="21"/>
      <c r="J42" s="8"/>
      <c r="K42" s="4"/>
      <c r="L42" s="4"/>
    </row>
    <row r="43" spans="1:12" x14ac:dyDescent="0.25">
      <c r="A43" s="7" t="s">
        <v>33</v>
      </c>
      <c r="B43" s="5">
        <v>1</v>
      </c>
      <c r="C43" s="119" t="s">
        <v>14</v>
      </c>
      <c r="D43" s="14">
        <v>2.5099999999999998</v>
      </c>
      <c r="E43" s="34">
        <v>0</v>
      </c>
      <c r="F43" s="39">
        <f>D43*B43</f>
        <v>2.5099999999999998</v>
      </c>
      <c r="G43" s="39">
        <f t="shared" si="1"/>
        <v>2.5099999999999998</v>
      </c>
      <c r="H43" s="39">
        <f t="shared" si="2"/>
        <v>0</v>
      </c>
      <c r="I43" s="21"/>
      <c r="J43" s="8"/>
      <c r="K43" s="4"/>
      <c r="L43" s="4"/>
    </row>
    <row r="44" spans="1:12" x14ac:dyDescent="0.25">
      <c r="A44" s="4" t="s">
        <v>34</v>
      </c>
      <c r="B44" s="89">
        <f>'Universal Input Prices'!$B$35</f>
        <v>5.3999999999999999E-2</v>
      </c>
      <c r="C44" s="119"/>
      <c r="D44" s="22"/>
      <c r="E44" s="36"/>
      <c r="F44" s="158">
        <f>(SUM(F15:F23,F25:F43))*$B44/1.7</f>
        <v>6.8933874229411769</v>
      </c>
      <c r="G44" s="158">
        <f t="shared" ref="G44:H44" si="3">(SUM(G15:G23,G25:G43))*$B44/2</f>
        <v>5.0245123094999995</v>
      </c>
      <c r="H44" s="158">
        <f t="shared" si="3"/>
        <v>0.83486700000000003</v>
      </c>
      <c r="I44" s="21"/>
      <c r="J44" s="8"/>
      <c r="K44" s="4"/>
      <c r="L44" s="4"/>
    </row>
    <row r="45" spans="1:12" x14ac:dyDescent="0.25">
      <c r="A45" s="4"/>
      <c r="B45" s="10"/>
      <c r="C45" s="119"/>
      <c r="D45" s="8"/>
      <c r="E45" s="36"/>
      <c r="F45" s="39"/>
      <c r="G45" s="39"/>
      <c r="H45" s="39"/>
      <c r="I45" s="6"/>
      <c r="J45" s="6"/>
      <c r="K45" s="4"/>
      <c r="L45" s="4"/>
    </row>
    <row r="46" spans="1:12" x14ac:dyDescent="0.25">
      <c r="A46" s="4" t="s">
        <v>205</v>
      </c>
      <c r="B46" s="10"/>
      <c r="C46" s="119"/>
      <c r="D46" s="8"/>
      <c r="E46" s="36"/>
      <c r="F46" s="39">
        <f>SUM(F15:F44)</f>
        <v>313.90743592294115</v>
      </c>
      <c r="G46" s="39">
        <f>SUM(G15:G44)</f>
        <v>281.11756080949993</v>
      </c>
      <c r="H46" s="39">
        <f>SUM(H15:H44)</f>
        <v>31.755866999999999</v>
      </c>
      <c r="I46" s="11"/>
      <c r="J46" s="8"/>
      <c r="K46" s="4"/>
      <c r="L46" s="4"/>
    </row>
    <row r="47" spans="1:12" ht="13.8" x14ac:dyDescent="0.25">
      <c r="A47" s="12" t="s">
        <v>206</v>
      </c>
      <c r="B47" s="10"/>
      <c r="C47" s="119"/>
      <c r="D47" s="8"/>
      <c r="E47" s="36"/>
      <c r="F47" s="72">
        <f>F12-F46</f>
        <v>2.0925640770588529</v>
      </c>
      <c r="G47" s="72">
        <f>G12-G46</f>
        <v>-69.397560809499964</v>
      </c>
      <c r="H47" s="72">
        <f>H12-H46</f>
        <v>72.524133000000006</v>
      </c>
      <c r="I47" s="11"/>
      <c r="J47" s="8"/>
      <c r="K47" s="4"/>
      <c r="L47" s="4"/>
    </row>
    <row r="48" spans="1:12" x14ac:dyDescent="0.25">
      <c r="A48" s="4"/>
      <c r="B48" s="10"/>
      <c r="C48" s="119"/>
      <c r="D48" s="8"/>
      <c r="E48" s="36"/>
      <c r="F48" s="39"/>
      <c r="G48" s="39"/>
      <c r="H48" s="39"/>
      <c r="I48" s="11"/>
      <c r="J48" s="8"/>
      <c r="K48" s="4"/>
      <c r="L48" s="4"/>
    </row>
    <row r="49" spans="1:12" x14ac:dyDescent="0.25">
      <c r="A49" s="4" t="s">
        <v>208</v>
      </c>
      <c r="B49" s="10"/>
      <c r="C49" s="119"/>
      <c r="D49" s="8"/>
      <c r="E49" s="36"/>
      <c r="F49" s="39"/>
      <c r="G49" s="39"/>
      <c r="H49" s="39"/>
      <c r="I49" s="11"/>
      <c r="J49" s="6"/>
      <c r="K49" s="4"/>
      <c r="L49" s="4"/>
    </row>
    <row r="50" spans="1:12" x14ac:dyDescent="0.25">
      <c r="A50" s="7" t="s">
        <v>31</v>
      </c>
      <c r="B50" s="5">
        <v>1</v>
      </c>
      <c r="C50" s="119" t="s">
        <v>14</v>
      </c>
      <c r="D50" s="14">
        <v>18.79</v>
      </c>
      <c r="E50" s="34">
        <v>0</v>
      </c>
      <c r="F50" s="39">
        <f t="shared" ref="F50:F55" si="4">D50*B50</f>
        <v>18.79</v>
      </c>
      <c r="G50" s="39">
        <f t="shared" ref="G50:G58" si="5">F50*(1-E50)</f>
        <v>18.79</v>
      </c>
      <c r="H50" s="39">
        <f t="shared" ref="H50:H58" si="6">F50*E50</f>
        <v>0</v>
      </c>
      <c r="I50" s="21"/>
      <c r="J50" s="8"/>
      <c r="K50" s="4"/>
      <c r="L50" s="4"/>
    </row>
    <row r="51" spans="1:12" x14ac:dyDescent="0.25">
      <c r="A51" s="7" t="s">
        <v>2</v>
      </c>
      <c r="B51" s="5">
        <v>1</v>
      </c>
      <c r="C51" s="119" t="s">
        <v>14</v>
      </c>
      <c r="D51" s="14">
        <v>5.4</v>
      </c>
      <c r="E51" s="34">
        <v>0</v>
      </c>
      <c r="F51" s="39">
        <f t="shared" si="4"/>
        <v>5.4</v>
      </c>
      <c r="G51" s="39">
        <f t="shared" si="5"/>
        <v>5.4</v>
      </c>
      <c r="H51" s="39">
        <f t="shared" si="6"/>
        <v>0</v>
      </c>
      <c r="I51" s="21"/>
      <c r="J51" s="8"/>
      <c r="K51" s="4"/>
      <c r="L51" s="4"/>
    </row>
    <row r="52" spans="1:12" x14ac:dyDescent="0.25">
      <c r="A52" s="2" t="s">
        <v>273</v>
      </c>
      <c r="B52" s="5">
        <v>1</v>
      </c>
      <c r="C52" s="119" t="s">
        <v>14</v>
      </c>
      <c r="D52" s="14">
        <v>33.5</v>
      </c>
      <c r="E52" s="34">
        <v>0</v>
      </c>
      <c r="F52" s="39">
        <f t="shared" si="4"/>
        <v>33.5</v>
      </c>
      <c r="G52" s="39">
        <f t="shared" si="5"/>
        <v>33.5</v>
      </c>
      <c r="H52" s="39">
        <f t="shared" si="6"/>
        <v>0</v>
      </c>
      <c r="I52" s="21"/>
      <c r="J52" s="8"/>
      <c r="K52" s="4"/>
      <c r="L52" s="4"/>
    </row>
    <row r="53" spans="1:12" x14ac:dyDescent="0.25">
      <c r="A53" s="7" t="s">
        <v>204</v>
      </c>
      <c r="B53" s="5">
        <v>1</v>
      </c>
      <c r="C53" s="119" t="s">
        <v>14</v>
      </c>
      <c r="D53" s="14">
        <v>0</v>
      </c>
      <c r="E53" s="34">
        <v>1</v>
      </c>
      <c r="F53" s="39">
        <f t="shared" si="4"/>
        <v>0</v>
      </c>
      <c r="G53" s="39">
        <f t="shared" si="5"/>
        <v>0</v>
      </c>
      <c r="H53" s="39">
        <f t="shared" si="6"/>
        <v>0</v>
      </c>
      <c r="I53" s="21"/>
      <c r="J53" s="8"/>
      <c r="K53" s="4"/>
      <c r="L53" s="4"/>
    </row>
    <row r="54" spans="1:12" x14ac:dyDescent="0.25">
      <c r="A54" s="7" t="s">
        <v>33</v>
      </c>
      <c r="B54" s="5">
        <v>1</v>
      </c>
      <c r="C54" s="119" t="s">
        <v>14</v>
      </c>
      <c r="D54" s="14">
        <v>3.66</v>
      </c>
      <c r="E54" s="34">
        <v>0</v>
      </c>
      <c r="F54" s="39">
        <f t="shared" si="4"/>
        <v>3.66</v>
      </c>
      <c r="G54" s="39">
        <f t="shared" si="5"/>
        <v>3.66</v>
      </c>
      <c r="H54" s="39">
        <f t="shared" si="6"/>
        <v>0</v>
      </c>
      <c r="I54" s="21"/>
      <c r="J54" s="8"/>
      <c r="K54" s="4"/>
      <c r="L54" s="4"/>
    </row>
    <row r="55" spans="1:12" x14ac:dyDescent="0.25">
      <c r="A55" s="7" t="s">
        <v>35</v>
      </c>
      <c r="B55" s="5">
        <v>1</v>
      </c>
      <c r="C55" s="119" t="s">
        <v>14</v>
      </c>
      <c r="D55" s="14">
        <v>0</v>
      </c>
      <c r="E55" s="34">
        <v>0</v>
      </c>
      <c r="F55" s="39">
        <f t="shared" si="4"/>
        <v>0</v>
      </c>
      <c r="G55" s="39">
        <f t="shared" si="5"/>
        <v>0</v>
      </c>
      <c r="H55" s="39">
        <f t="shared" si="6"/>
        <v>0</v>
      </c>
      <c r="I55" s="21"/>
      <c r="J55" s="8"/>
      <c r="K55" s="4"/>
      <c r="L55" s="4"/>
    </row>
    <row r="56" spans="1:12" x14ac:dyDescent="0.25">
      <c r="A56" s="2" t="s">
        <v>272</v>
      </c>
      <c r="B56" s="5">
        <v>1</v>
      </c>
      <c r="C56" s="119" t="s">
        <v>14</v>
      </c>
      <c r="D56" s="14">
        <v>26.57</v>
      </c>
      <c r="E56" s="34">
        <v>0</v>
      </c>
      <c r="F56" s="39">
        <f>B56*D56</f>
        <v>26.57</v>
      </c>
      <c r="G56" s="39">
        <f t="shared" si="5"/>
        <v>26.57</v>
      </c>
      <c r="H56" s="39">
        <f t="shared" si="6"/>
        <v>0</v>
      </c>
      <c r="I56" s="65"/>
      <c r="J56" s="8"/>
      <c r="K56" s="4"/>
      <c r="L56" s="4"/>
    </row>
    <row r="57" spans="1:12" x14ac:dyDescent="0.25">
      <c r="A57" s="7" t="s">
        <v>36</v>
      </c>
      <c r="B57" s="43">
        <v>1</v>
      </c>
      <c r="C57" s="119" t="s">
        <v>14</v>
      </c>
      <c r="D57" s="14">
        <v>72</v>
      </c>
      <c r="E57" s="34">
        <v>1</v>
      </c>
      <c r="F57" s="39">
        <f>D57*B57</f>
        <v>72</v>
      </c>
      <c r="G57" s="39">
        <f>IF($H$6="Cash",D57,F57*(1-E57))</f>
        <v>0</v>
      </c>
      <c r="H57" s="39">
        <f>IF($H$6="Cash",0,F57*E57)</f>
        <v>72</v>
      </c>
      <c r="I57" s="21"/>
      <c r="J57" s="8"/>
      <c r="K57" s="4"/>
      <c r="L57" s="4"/>
    </row>
    <row r="58" spans="1:12" x14ac:dyDescent="0.25">
      <c r="A58" s="7" t="s">
        <v>42</v>
      </c>
      <c r="B58" s="43">
        <v>1</v>
      </c>
      <c r="C58" s="119" t="s">
        <v>14</v>
      </c>
      <c r="D58" s="14">
        <v>0</v>
      </c>
      <c r="E58" s="34">
        <v>1</v>
      </c>
      <c r="F58" s="39">
        <f>B58*D58</f>
        <v>0</v>
      </c>
      <c r="G58" s="39">
        <f t="shared" si="5"/>
        <v>0</v>
      </c>
      <c r="H58" s="39">
        <f t="shared" si="6"/>
        <v>0</v>
      </c>
      <c r="I58" s="65"/>
      <c r="J58" s="8"/>
      <c r="K58" s="4"/>
      <c r="L58" s="4"/>
    </row>
    <row r="59" spans="1:12" x14ac:dyDescent="0.25">
      <c r="A59" s="4" t="s">
        <v>37</v>
      </c>
      <c r="B59" s="5"/>
      <c r="C59" s="119"/>
      <c r="D59" s="10"/>
      <c r="E59" s="36"/>
      <c r="F59" s="39">
        <f>SUM(F50:F58)</f>
        <v>159.91999999999999</v>
      </c>
      <c r="G59" s="39">
        <f>SUM(G50:G58)</f>
        <v>87.919999999999987</v>
      </c>
      <c r="H59" s="39">
        <f>SUM(H50:H58)</f>
        <v>72</v>
      </c>
      <c r="I59" s="6"/>
      <c r="J59" s="8"/>
      <c r="K59" s="4"/>
      <c r="L59" s="4"/>
    </row>
    <row r="60" spans="1:12" x14ac:dyDescent="0.25">
      <c r="A60" s="4" t="s">
        <v>38</v>
      </c>
      <c r="B60" s="5"/>
      <c r="C60" s="119"/>
      <c r="D60" s="10"/>
      <c r="E60" s="36"/>
      <c r="F60" s="39">
        <f>F46+F59</f>
        <v>473.82743592294116</v>
      </c>
      <c r="G60" s="39">
        <f>G46+G59</f>
        <v>369.03756080949995</v>
      </c>
      <c r="H60" s="39">
        <f>H46+H59</f>
        <v>103.75586699999999</v>
      </c>
      <c r="I60" s="6"/>
      <c r="J60" s="8"/>
      <c r="K60" s="4"/>
      <c r="L60" s="4"/>
    </row>
    <row r="61" spans="1:12" ht="13.8" x14ac:dyDescent="0.25">
      <c r="A61" s="12" t="s">
        <v>39</v>
      </c>
      <c r="B61" s="5"/>
      <c r="C61" s="119"/>
      <c r="D61" s="10"/>
      <c r="E61" s="36"/>
      <c r="F61" s="72">
        <f>F12-F60</f>
        <v>-157.82743592294116</v>
      </c>
      <c r="G61" s="72">
        <f>G12-G60</f>
        <v>-157.31756080949998</v>
      </c>
      <c r="H61" s="72">
        <f>H12-H60</f>
        <v>0.52413300000000618</v>
      </c>
      <c r="I61" s="6"/>
      <c r="J61" s="8"/>
      <c r="K61" s="4"/>
      <c r="L61" s="4"/>
    </row>
    <row r="62" spans="1:12" x14ac:dyDescent="0.25">
      <c r="A62" s="4"/>
      <c r="B62" s="5"/>
      <c r="C62" s="119"/>
      <c r="D62" s="10"/>
      <c r="E62" s="36"/>
      <c r="F62" s="8"/>
      <c r="G62" s="8"/>
      <c r="H62" s="8"/>
      <c r="I62" s="6"/>
      <c r="J62" s="8"/>
      <c r="K62" s="4"/>
      <c r="L62" s="4"/>
    </row>
    <row r="63" spans="1:12" ht="13.8" x14ac:dyDescent="0.25">
      <c r="A63" s="113" t="s">
        <v>161</v>
      </c>
      <c r="B63" s="113"/>
      <c r="C63" s="266"/>
      <c r="D63" s="113"/>
      <c r="E63" s="114"/>
      <c r="F63" s="115">
        <f>(F61/F60)</f>
        <v>-0.3330905387855353</v>
      </c>
      <c r="G63" s="115">
        <f t="shared" ref="G63:H63" si="7">(G61/G60)</f>
        <v>-0.42629146058850231</v>
      </c>
      <c r="H63" s="115">
        <f t="shared" si="7"/>
        <v>5.0515986724876602E-3</v>
      </c>
      <c r="I63" s="4"/>
      <c r="J63" s="4"/>
      <c r="K63" s="4"/>
      <c r="L63" s="4"/>
    </row>
    <row r="64" spans="1:12" x14ac:dyDescent="0.25">
      <c r="B64" s="1"/>
      <c r="C64" s="269"/>
      <c r="D64" s="46"/>
      <c r="E64" s="36"/>
      <c r="F64" s="42"/>
      <c r="G64" s="42"/>
      <c r="H64" s="42"/>
      <c r="I64" s="64"/>
      <c r="J64" s="42"/>
      <c r="K64" s="4"/>
      <c r="L64" s="4"/>
    </row>
    <row r="65" spans="4:12" x14ac:dyDescent="0.25">
      <c r="D65" s="4"/>
      <c r="E65" s="36"/>
      <c r="F65" s="4"/>
      <c r="G65" s="4"/>
      <c r="H65" s="4"/>
      <c r="I65" s="4"/>
      <c r="J65" s="4"/>
      <c r="K65" s="4"/>
      <c r="L65" s="4"/>
    </row>
    <row r="66" spans="4:12" x14ac:dyDescent="0.25">
      <c r="D66" s="4"/>
      <c r="E66" s="36"/>
      <c r="F66" s="4"/>
      <c r="G66" s="4"/>
      <c r="H66" s="4"/>
      <c r="I66" s="4"/>
      <c r="J66" s="4"/>
      <c r="K66" s="4"/>
      <c r="L66" s="4"/>
    </row>
    <row r="67" spans="4:12" x14ac:dyDescent="0.25">
      <c r="D67" s="4"/>
      <c r="E67" s="10"/>
      <c r="F67" s="4"/>
      <c r="G67" s="4"/>
      <c r="H67" s="4"/>
      <c r="I67" s="4"/>
      <c r="J67" s="4"/>
      <c r="K67" s="4"/>
      <c r="L67" s="4"/>
    </row>
    <row r="68" spans="4:12" x14ac:dyDescent="0.25">
      <c r="D68" s="4"/>
      <c r="E68" s="10"/>
      <c r="F68" s="4"/>
      <c r="G68" s="4"/>
      <c r="H68" s="4"/>
      <c r="I68" s="4"/>
      <c r="J68" s="4"/>
      <c r="K68" s="4"/>
      <c r="L68" s="4"/>
    </row>
    <row r="69" spans="4:12" x14ac:dyDescent="0.25">
      <c r="D69" s="4"/>
      <c r="E69" s="10"/>
      <c r="F69" s="4"/>
      <c r="G69" s="4"/>
      <c r="H69" s="4"/>
      <c r="I69" s="4"/>
      <c r="J69" s="4"/>
      <c r="K69" s="4"/>
      <c r="L69" s="4"/>
    </row>
    <row r="70" spans="4:12" x14ac:dyDescent="0.25">
      <c r="D70" s="4"/>
      <c r="E70" s="4"/>
      <c r="F70" s="4"/>
      <c r="G70" s="4"/>
      <c r="H70" s="4"/>
      <c r="I70" s="4"/>
      <c r="J70" s="4"/>
      <c r="K70" s="4"/>
      <c r="L70" s="4"/>
    </row>
    <row r="71" spans="4:12" x14ac:dyDescent="0.25">
      <c r="D71" s="4"/>
      <c r="E71" s="46"/>
      <c r="F71" s="4"/>
      <c r="G71" s="4"/>
      <c r="H71" s="4"/>
      <c r="I71" s="4"/>
      <c r="J71" s="4"/>
      <c r="K71" s="4"/>
      <c r="L71" s="4"/>
    </row>
  </sheetData>
  <sheetProtection sheet="1" objects="1" scenarios="1" formatColumns="0" formatRows="0" selectLockedCells="1"/>
  <mergeCells count="3">
    <mergeCell ref="A2:H2"/>
    <mergeCell ref="A3:H3"/>
    <mergeCell ref="A4:H4"/>
  </mergeCells>
  <dataValidations count="2">
    <dataValidation type="list" allowBlank="1" showInputMessage="1" showErrorMessage="1" sqref="A17:A19">
      <formula1>Fert_Names</formula1>
    </dataValidation>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s>
  <printOptions horizontalCentered="1"/>
  <pageMargins left="0.25" right="0.25" top="0.75" bottom="0.75" header="0.3" footer="0.3"/>
  <pageSetup scale="82"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70"/>
  <sheetViews>
    <sheetView showGridLines="0" showRowColHeaders="0" zoomScale="90" zoomScaleNormal="90" workbookViewId="0">
      <pane ySplit="7" topLeftCell="A8" activePane="bottomLeft" state="frozen"/>
      <selection activeCell="B9" sqref="B9"/>
      <selection pane="bottomLeft" activeCell="B18" sqref="B18"/>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116</v>
      </c>
      <c r="B3" s="319"/>
      <c r="C3" s="319"/>
      <c r="D3" s="319"/>
      <c r="E3" s="319"/>
      <c r="F3" s="319"/>
      <c r="G3" s="319"/>
      <c r="H3" s="319"/>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53" t="s">
        <v>4</v>
      </c>
      <c r="C6" s="53" t="s">
        <v>5</v>
      </c>
      <c r="D6" s="53" t="s">
        <v>6</v>
      </c>
      <c r="E6" s="53" t="s">
        <v>53</v>
      </c>
      <c r="F6" s="244"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5"/>
      <c r="D8" s="5"/>
      <c r="E8" s="5"/>
      <c r="F8" s="5"/>
      <c r="G8" s="5"/>
      <c r="H8" s="5"/>
    </row>
    <row r="9" spans="1:18" x14ac:dyDescent="0.25">
      <c r="A9" s="7" t="s">
        <v>50</v>
      </c>
      <c r="B9" s="23">
        <v>50</v>
      </c>
      <c r="C9" s="119" t="s">
        <v>80</v>
      </c>
      <c r="D9" s="55">
        <f>'Universal Input Prices'!$B$18</f>
        <v>3.95</v>
      </c>
      <c r="E9" s="34">
        <v>0.33</v>
      </c>
      <c r="F9" s="39">
        <f>D9*B9</f>
        <v>197.5</v>
      </c>
      <c r="G9" s="39">
        <f>F9*(1-E9)</f>
        <v>132.32499999999999</v>
      </c>
      <c r="H9" s="39">
        <f>IF(H6="Cash", D58,F9*E9)</f>
        <v>65.174999999999997</v>
      </c>
      <c r="L9" s="52"/>
    </row>
    <row r="10" spans="1:18" x14ac:dyDescent="0.25">
      <c r="A10" s="7" t="s">
        <v>44</v>
      </c>
      <c r="B10" s="33">
        <v>136</v>
      </c>
      <c r="C10" s="119" t="s">
        <v>79</v>
      </c>
      <c r="D10" s="54">
        <f>Grazing_Price</f>
        <v>0.4</v>
      </c>
      <c r="E10" s="34">
        <v>0.33</v>
      </c>
      <c r="F10" s="39">
        <f>D10*B10</f>
        <v>54.400000000000006</v>
      </c>
      <c r="G10" s="39">
        <f>F10*(1-E10)</f>
        <v>36.448</v>
      </c>
      <c r="H10" s="39">
        <f>IF(H6="Cash", 0,F10*E10)</f>
        <v>17.952000000000002</v>
      </c>
      <c r="L10" s="52"/>
    </row>
    <row r="11" spans="1:18" x14ac:dyDescent="0.25">
      <c r="A11" s="7" t="s">
        <v>263</v>
      </c>
      <c r="B11" s="47">
        <v>0</v>
      </c>
      <c r="C11" s="119" t="s">
        <v>264</v>
      </c>
      <c r="D11" s="55">
        <v>1</v>
      </c>
      <c r="E11" s="34">
        <v>0.33</v>
      </c>
      <c r="F11" s="39">
        <f>D11*B11</f>
        <v>0</v>
      </c>
      <c r="G11" s="39">
        <f>F11*(1-E11)</f>
        <v>0</v>
      </c>
      <c r="H11" s="39">
        <f>IF(H8="Cash", D60,F11*E11)</f>
        <v>0</v>
      </c>
      <c r="I11" s="4"/>
    </row>
    <row r="12" spans="1:18" x14ac:dyDescent="0.25">
      <c r="A12" s="9"/>
      <c r="B12" s="21"/>
      <c r="C12" s="264"/>
      <c r="D12" s="8"/>
      <c r="E12" s="36"/>
      <c r="F12" s="39"/>
      <c r="G12" s="39"/>
      <c r="H12" s="39"/>
      <c r="L12" s="52"/>
    </row>
    <row r="13" spans="1:18" x14ac:dyDescent="0.25">
      <c r="A13" s="4" t="s">
        <v>12</v>
      </c>
      <c r="B13" s="5"/>
      <c r="C13" s="119"/>
      <c r="D13" s="8"/>
      <c r="E13" s="36"/>
      <c r="F13" s="39">
        <f>SUM(F8:F12)</f>
        <v>251.9</v>
      </c>
      <c r="G13" s="39">
        <f>SUM(G8:G12)</f>
        <v>168.773</v>
      </c>
      <c r="H13" s="39">
        <f>SUM(H8:H12)</f>
        <v>83.126999999999995</v>
      </c>
      <c r="L13" s="52"/>
    </row>
    <row r="14" spans="1:18" x14ac:dyDescent="0.25">
      <c r="A14" s="4"/>
      <c r="B14" s="5"/>
      <c r="C14" s="119"/>
      <c r="D14" s="8"/>
      <c r="E14" s="36"/>
      <c r="F14" s="39"/>
      <c r="G14" s="39"/>
      <c r="H14" s="39"/>
      <c r="L14" s="52"/>
    </row>
    <row r="15" spans="1:18" x14ac:dyDescent="0.25">
      <c r="A15" s="4" t="s">
        <v>207</v>
      </c>
      <c r="B15" s="5"/>
      <c r="C15" s="119"/>
      <c r="D15" s="8"/>
      <c r="E15" s="36"/>
      <c r="F15" s="39"/>
      <c r="G15" s="39"/>
      <c r="H15" s="39"/>
      <c r="L15" s="52"/>
    </row>
    <row r="16" spans="1:18" x14ac:dyDescent="0.25">
      <c r="A16" s="4" t="s">
        <v>1</v>
      </c>
      <c r="B16" s="28">
        <v>1</v>
      </c>
      <c r="C16" s="119" t="s">
        <v>80</v>
      </c>
      <c r="D16" s="13">
        <v>23.7</v>
      </c>
      <c r="E16" s="34">
        <v>0</v>
      </c>
      <c r="F16" s="39">
        <f>D16*B16</f>
        <v>23.7</v>
      </c>
      <c r="G16" s="39">
        <f>F16*(1-E16)</f>
        <v>23.7</v>
      </c>
      <c r="H16" s="39">
        <f>F16*E16</f>
        <v>0</v>
      </c>
    </row>
    <row r="17" spans="1:8" x14ac:dyDescent="0.25">
      <c r="A17" s="4" t="s">
        <v>0</v>
      </c>
      <c r="B17" s="26"/>
      <c r="C17" s="119"/>
      <c r="D17" s="15"/>
      <c r="E17" s="36"/>
      <c r="F17" s="39"/>
      <c r="G17" s="39"/>
      <c r="H17" s="39"/>
    </row>
    <row r="18" spans="1:8" x14ac:dyDescent="0.25">
      <c r="A18" s="302" t="s">
        <v>255</v>
      </c>
      <c r="B18" s="24">
        <v>50</v>
      </c>
      <c r="C18" s="119" t="s">
        <v>79</v>
      </c>
      <c r="D18" s="54">
        <f>IF(A18="",0,VLOOKUP(A18,'Universal Input Prices'!$A$26:$B$30, 2))</f>
        <v>0.25000000000000006</v>
      </c>
      <c r="E18" s="34">
        <v>0.33</v>
      </c>
      <c r="F18" s="39">
        <f>D18*B18</f>
        <v>12.500000000000004</v>
      </c>
      <c r="G18" s="39">
        <f>F18*(1-E18)</f>
        <v>8.3750000000000018</v>
      </c>
      <c r="H18" s="39">
        <f>F18*E18</f>
        <v>4.1250000000000018</v>
      </c>
    </row>
    <row r="19" spans="1:8" x14ac:dyDescent="0.25">
      <c r="A19" s="302" t="s">
        <v>136</v>
      </c>
      <c r="B19" s="24">
        <v>30</v>
      </c>
      <c r="C19" s="119" t="s">
        <v>79</v>
      </c>
      <c r="D19" s="54">
        <f>IF(A19="",0,VLOOKUP(A19,'Universal Input Prices'!$A$26:$B$30, 2))</f>
        <v>0.47</v>
      </c>
      <c r="E19" s="34">
        <v>0.33</v>
      </c>
      <c r="F19" s="39">
        <f>D19*B19</f>
        <v>14.1</v>
      </c>
      <c r="G19" s="39">
        <f>F19*(1-E19)</f>
        <v>9.4469999999999992</v>
      </c>
      <c r="H19" s="39">
        <f>F19*E19</f>
        <v>4.6530000000000005</v>
      </c>
    </row>
    <row r="20" spans="1:8" x14ac:dyDescent="0.25">
      <c r="A20" s="302" t="s">
        <v>135</v>
      </c>
      <c r="B20" s="24">
        <v>25</v>
      </c>
      <c r="C20" s="119" t="s">
        <v>79</v>
      </c>
      <c r="D20" s="54">
        <f>IF(A20="",0,VLOOKUP(A20,'Universal Input Prices'!$A$26:$B$27, 2))</f>
        <v>0.41015625</v>
      </c>
      <c r="E20" s="34">
        <v>0.33</v>
      </c>
      <c r="F20" s="39">
        <f>D20*B20</f>
        <v>10.25390625</v>
      </c>
      <c r="G20" s="39">
        <f>F20*(1-E20)</f>
        <v>6.8701171874999991</v>
      </c>
      <c r="H20" s="39">
        <f>F20*E20</f>
        <v>3.3837890625</v>
      </c>
    </row>
    <row r="21" spans="1:8" x14ac:dyDescent="0.25">
      <c r="A21" s="4" t="s">
        <v>15</v>
      </c>
      <c r="B21" s="27"/>
      <c r="C21" s="119"/>
      <c r="D21" s="8"/>
      <c r="E21" s="36"/>
      <c r="F21" s="39"/>
      <c r="G21" s="39"/>
      <c r="H21" s="39"/>
    </row>
    <row r="22" spans="1:8" x14ac:dyDescent="0.25">
      <c r="A22" s="2" t="s">
        <v>236</v>
      </c>
      <c r="B22" s="24">
        <v>1</v>
      </c>
      <c r="C22" s="119" t="s">
        <v>14</v>
      </c>
      <c r="D22" s="14">
        <v>0</v>
      </c>
      <c r="E22" s="34">
        <v>0.33</v>
      </c>
      <c r="F22" s="39">
        <f t="shared" ref="F22:F36" si="0">D22*B22</f>
        <v>0</v>
      </c>
      <c r="G22" s="39">
        <f t="shared" ref="G22:G44" si="1">F22*(1-E22)</f>
        <v>0</v>
      </c>
      <c r="H22" s="39">
        <f t="shared" ref="H22:H44" si="2">F22*E22</f>
        <v>0</v>
      </c>
    </row>
    <row r="23" spans="1:8" x14ac:dyDescent="0.25">
      <c r="A23" s="2" t="s">
        <v>43</v>
      </c>
      <c r="B23" s="24">
        <v>1</v>
      </c>
      <c r="C23" s="119" t="s">
        <v>14</v>
      </c>
      <c r="D23" s="14">
        <v>15</v>
      </c>
      <c r="E23" s="34">
        <v>0.33</v>
      </c>
      <c r="F23" s="39">
        <f t="shared" si="0"/>
        <v>15</v>
      </c>
      <c r="G23" s="39">
        <f t="shared" si="1"/>
        <v>10.049999999999999</v>
      </c>
      <c r="H23" s="39">
        <f t="shared" si="2"/>
        <v>4.95</v>
      </c>
    </row>
    <row r="24" spans="1:8" x14ac:dyDescent="0.25">
      <c r="A24" s="2" t="s">
        <v>237</v>
      </c>
      <c r="B24" s="24">
        <v>1</v>
      </c>
      <c r="C24" s="119" t="s">
        <v>14</v>
      </c>
      <c r="D24" s="14">
        <v>8.9</v>
      </c>
      <c r="E24" s="34">
        <v>0.33</v>
      </c>
      <c r="F24" s="39">
        <f t="shared" si="0"/>
        <v>8.9</v>
      </c>
      <c r="G24" s="39">
        <f t="shared" si="1"/>
        <v>5.9629999999999992</v>
      </c>
      <c r="H24" s="39">
        <f t="shared" si="2"/>
        <v>2.9370000000000003</v>
      </c>
    </row>
    <row r="25" spans="1:8" x14ac:dyDescent="0.25">
      <c r="A25" s="2" t="s">
        <v>47</v>
      </c>
      <c r="B25" s="27">
        <f>B9</f>
        <v>50</v>
      </c>
      <c r="C25" s="119" t="s">
        <v>46</v>
      </c>
      <c r="D25" s="14">
        <v>0.6</v>
      </c>
      <c r="E25" s="34">
        <v>0</v>
      </c>
      <c r="F25" s="39">
        <f t="shared" si="0"/>
        <v>30</v>
      </c>
      <c r="G25" s="39">
        <f t="shared" si="1"/>
        <v>30</v>
      </c>
      <c r="H25" s="39">
        <f t="shared" si="2"/>
        <v>0</v>
      </c>
    </row>
    <row r="26" spans="1:8" x14ac:dyDescent="0.25">
      <c r="A26" s="7" t="s">
        <v>20</v>
      </c>
      <c r="B26" s="24">
        <v>0</v>
      </c>
      <c r="C26" s="119" t="s">
        <v>14</v>
      </c>
      <c r="D26" s="14">
        <v>0</v>
      </c>
      <c r="E26" s="34">
        <v>0</v>
      </c>
      <c r="F26" s="39">
        <f t="shared" si="0"/>
        <v>0</v>
      </c>
      <c r="G26" s="39">
        <f t="shared" si="1"/>
        <v>0</v>
      </c>
      <c r="H26" s="39">
        <f t="shared" si="2"/>
        <v>0</v>
      </c>
    </row>
    <row r="27" spans="1:8" x14ac:dyDescent="0.25">
      <c r="A27" s="2" t="s">
        <v>21</v>
      </c>
      <c r="B27" s="24">
        <v>1</v>
      </c>
      <c r="C27" s="119" t="s">
        <v>14</v>
      </c>
      <c r="D27" s="14">
        <v>0</v>
      </c>
      <c r="E27" s="34">
        <v>0</v>
      </c>
      <c r="F27" s="39">
        <f>D27*B27</f>
        <v>0</v>
      </c>
      <c r="G27" s="39">
        <f>F27*(1-E27)</f>
        <v>0</v>
      </c>
      <c r="H27" s="39">
        <f>F27*E27</f>
        <v>0</v>
      </c>
    </row>
    <row r="28" spans="1:8" x14ac:dyDescent="0.25">
      <c r="A28" s="16" t="s">
        <v>40</v>
      </c>
      <c r="B28" s="24">
        <v>1</v>
      </c>
      <c r="C28" s="265" t="s">
        <v>14</v>
      </c>
      <c r="D28" s="14">
        <v>0</v>
      </c>
      <c r="E28" s="34">
        <v>0</v>
      </c>
      <c r="F28" s="39">
        <f t="shared" si="0"/>
        <v>0</v>
      </c>
      <c r="G28" s="39">
        <f t="shared" si="1"/>
        <v>0</v>
      </c>
      <c r="H28" s="39">
        <f t="shared" si="2"/>
        <v>0</v>
      </c>
    </row>
    <row r="29" spans="1:8" x14ac:dyDescent="0.25">
      <c r="A29" s="16" t="s">
        <v>40</v>
      </c>
      <c r="B29" s="24">
        <v>1</v>
      </c>
      <c r="C29" s="265" t="s">
        <v>14</v>
      </c>
      <c r="D29" s="14">
        <v>0</v>
      </c>
      <c r="E29" s="34">
        <v>0</v>
      </c>
      <c r="F29" s="39">
        <f t="shared" si="0"/>
        <v>0</v>
      </c>
      <c r="G29" s="39">
        <f t="shared" si="1"/>
        <v>0</v>
      </c>
      <c r="H29" s="39">
        <f t="shared" si="2"/>
        <v>0</v>
      </c>
    </row>
    <row r="30" spans="1:8" x14ac:dyDescent="0.25">
      <c r="A30" s="16" t="s">
        <v>40</v>
      </c>
      <c r="B30" s="24">
        <v>1</v>
      </c>
      <c r="C30" s="265" t="s">
        <v>14</v>
      </c>
      <c r="D30" s="14">
        <v>0</v>
      </c>
      <c r="E30" s="34">
        <v>0</v>
      </c>
      <c r="F30" s="39">
        <f t="shared" si="0"/>
        <v>0</v>
      </c>
      <c r="G30" s="39">
        <f t="shared" si="1"/>
        <v>0</v>
      </c>
      <c r="H30" s="39">
        <f t="shared" si="2"/>
        <v>0</v>
      </c>
    </row>
    <row r="31" spans="1:8" x14ac:dyDescent="0.25">
      <c r="A31" s="4" t="s">
        <v>22</v>
      </c>
      <c r="B31" s="24">
        <v>1</v>
      </c>
      <c r="C31" s="119" t="s">
        <v>14</v>
      </c>
      <c r="D31" s="14">
        <v>33</v>
      </c>
      <c r="E31" s="34">
        <v>0.33</v>
      </c>
      <c r="F31" s="39">
        <f t="shared" si="0"/>
        <v>33</v>
      </c>
      <c r="G31" s="39">
        <f t="shared" si="1"/>
        <v>22.11</v>
      </c>
      <c r="H31" s="39">
        <f t="shared" si="2"/>
        <v>10.89</v>
      </c>
    </row>
    <row r="32" spans="1:8" x14ac:dyDescent="0.25">
      <c r="A32" s="4" t="s">
        <v>140</v>
      </c>
      <c r="B32" s="28">
        <v>0.85499999999999998</v>
      </c>
      <c r="C32" s="119" t="s">
        <v>23</v>
      </c>
      <c r="D32" s="55">
        <f>'Universal Input Prices'!$B$31</f>
        <v>12.45</v>
      </c>
      <c r="E32" s="34">
        <v>0</v>
      </c>
      <c r="F32" s="39">
        <f t="shared" si="0"/>
        <v>10.644749999999998</v>
      </c>
      <c r="G32" s="39">
        <f t="shared" si="1"/>
        <v>10.644749999999998</v>
      </c>
      <c r="H32" s="39">
        <f t="shared" si="2"/>
        <v>0</v>
      </c>
    </row>
    <row r="33" spans="1:9" x14ac:dyDescent="0.25">
      <c r="A33" s="4" t="s">
        <v>24</v>
      </c>
      <c r="B33" s="28">
        <v>0.96</v>
      </c>
      <c r="C33" s="119" t="s">
        <v>23</v>
      </c>
      <c r="D33" s="55">
        <f>'Universal Input Prices'!$B$31</f>
        <v>12.45</v>
      </c>
      <c r="E33" s="34">
        <v>0</v>
      </c>
      <c r="F33" s="39">
        <f t="shared" si="0"/>
        <v>11.951999999999998</v>
      </c>
      <c r="G33" s="39">
        <f t="shared" si="1"/>
        <v>11.951999999999998</v>
      </c>
      <c r="H33" s="39">
        <f t="shared" si="2"/>
        <v>0</v>
      </c>
    </row>
    <row r="34" spans="1:9" x14ac:dyDescent="0.25">
      <c r="A34" s="4" t="s">
        <v>25</v>
      </c>
      <c r="B34" s="28">
        <v>2.12</v>
      </c>
      <c r="C34" s="119" t="s">
        <v>26</v>
      </c>
      <c r="D34" s="55">
        <f>'Universal Input Prices'!$B$32</f>
        <v>1.81</v>
      </c>
      <c r="E34" s="34">
        <v>0</v>
      </c>
      <c r="F34" s="39">
        <f t="shared" si="0"/>
        <v>3.8372000000000002</v>
      </c>
      <c r="G34" s="39">
        <f t="shared" si="1"/>
        <v>3.8372000000000002</v>
      </c>
      <c r="H34" s="39">
        <f t="shared" si="2"/>
        <v>0</v>
      </c>
    </row>
    <row r="35" spans="1:9" x14ac:dyDescent="0.25">
      <c r="A35" s="4" t="s">
        <v>27</v>
      </c>
      <c r="B35" s="28">
        <v>2.0492300000000001</v>
      </c>
      <c r="C35" s="119" t="s">
        <v>26</v>
      </c>
      <c r="D35" s="55">
        <f>'Universal Input Prices'!$B$33</f>
        <v>1.9259999999999999</v>
      </c>
      <c r="E35" s="34">
        <v>0</v>
      </c>
      <c r="F35" s="39">
        <f t="shared" si="0"/>
        <v>3.9468169799999999</v>
      </c>
      <c r="G35" s="39">
        <f t="shared" si="1"/>
        <v>3.9468169799999999</v>
      </c>
      <c r="H35" s="39">
        <f t="shared" si="2"/>
        <v>0</v>
      </c>
    </row>
    <row r="36" spans="1:9" x14ac:dyDescent="0.25">
      <c r="A36" s="4" t="s">
        <v>28</v>
      </c>
      <c r="B36" s="28">
        <v>10</v>
      </c>
      <c r="C36" s="119" t="s">
        <v>29</v>
      </c>
      <c r="D36" s="55">
        <f>'Universal Input Prices'!$B$34</f>
        <v>3.6</v>
      </c>
      <c r="E36" s="34">
        <v>0.33</v>
      </c>
      <c r="F36" s="39">
        <f t="shared" si="0"/>
        <v>36</v>
      </c>
      <c r="G36" s="39">
        <f t="shared" si="1"/>
        <v>24.119999999999997</v>
      </c>
      <c r="H36" s="39">
        <f t="shared" si="2"/>
        <v>11.88</v>
      </c>
    </row>
    <row r="37" spans="1:9" hidden="1" x14ac:dyDescent="0.25">
      <c r="A37" s="4" t="s">
        <v>248</v>
      </c>
      <c r="B37" s="28">
        <v>70.709999999999994</v>
      </c>
      <c r="C37" s="119"/>
      <c r="D37" s="55"/>
      <c r="E37" s="34"/>
      <c r="F37" s="39"/>
      <c r="G37" s="39"/>
      <c r="H37" s="39"/>
      <c r="I37" s="4"/>
    </row>
    <row r="38" spans="1:9" hidden="1" x14ac:dyDescent="0.25">
      <c r="A38" s="4" t="s">
        <v>249</v>
      </c>
      <c r="B38" s="48">
        <f>B36*18.85694/B37</f>
        <v>2.6667996040164055</v>
      </c>
      <c r="C38" s="119"/>
      <c r="D38" s="55"/>
      <c r="E38" s="34"/>
      <c r="F38" s="39"/>
      <c r="G38" s="39"/>
      <c r="H38" s="39"/>
      <c r="I38" s="4"/>
    </row>
    <row r="39" spans="1:9" x14ac:dyDescent="0.25">
      <c r="A39" s="4" t="s">
        <v>30</v>
      </c>
      <c r="B39" s="5"/>
      <c r="C39" s="119"/>
      <c r="D39" s="15"/>
      <c r="E39" s="36"/>
      <c r="F39" s="39"/>
      <c r="G39" s="39"/>
      <c r="H39" s="39"/>
    </row>
    <row r="40" spans="1:9" x14ac:dyDescent="0.25">
      <c r="A40" s="7" t="s">
        <v>31</v>
      </c>
      <c r="B40" s="5">
        <v>1</v>
      </c>
      <c r="C40" s="119" t="s">
        <v>14</v>
      </c>
      <c r="D40" s="14">
        <v>11.98</v>
      </c>
      <c r="E40" s="34">
        <v>0</v>
      </c>
      <c r="F40" s="39">
        <f>D40*B40</f>
        <v>11.98</v>
      </c>
      <c r="G40" s="39">
        <f t="shared" si="1"/>
        <v>11.98</v>
      </c>
      <c r="H40" s="39">
        <f t="shared" si="2"/>
        <v>0</v>
      </c>
    </row>
    <row r="41" spans="1:9" x14ac:dyDescent="0.25">
      <c r="A41" s="7" t="s">
        <v>2</v>
      </c>
      <c r="B41" s="5">
        <v>1</v>
      </c>
      <c r="C41" s="119" t="s">
        <v>14</v>
      </c>
      <c r="D41" s="14">
        <v>3.78</v>
      </c>
      <c r="E41" s="34">
        <v>0</v>
      </c>
      <c r="F41" s="39">
        <f>D41*B41</f>
        <v>3.78</v>
      </c>
      <c r="G41" s="39">
        <f t="shared" si="1"/>
        <v>3.78</v>
      </c>
      <c r="H41" s="39">
        <f t="shared" si="2"/>
        <v>0</v>
      </c>
    </row>
    <row r="42" spans="1:9" x14ac:dyDescent="0.25">
      <c r="A42" s="7" t="s">
        <v>32</v>
      </c>
      <c r="B42" s="5">
        <f>B36</f>
        <v>10</v>
      </c>
      <c r="C42" s="119" t="s">
        <v>29</v>
      </c>
      <c r="D42" s="14">
        <v>4.04</v>
      </c>
      <c r="E42" s="34">
        <v>0</v>
      </c>
      <c r="F42" s="39">
        <f>D42*B42</f>
        <v>40.4</v>
      </c>
      <c r="G42" s="39">
        <f t="shared" si="1"/>
        <v>40.4</v>
      </c>
      <c r="H42" s="39">
        <f t="shared" si="2"/>
        <v>0</v>
      </c>
    </row>
    <row r="43" spans="1:9" x14ac:dyDescent="0.25">
      <c r="A43" s="7" t="s">
        <v>204</v>
      </c>
      <c r="B43" s="5">
        <v>1</v>
      </c>
      <c r="C43" s="119" t="s">
        <v>14</v>
      </c>
      <c r="D43" s="14">
        <v>0</v>
      </c>
      <c r="E43" s="34">
        <v>1</v>
      </c>
      <c r="F43" s="39">
        <f>D43*B43</f>
        <v>0</v>
      </c>
      <c r="G43" s="39">
        <f t="shared" si="1"/>
        <v>0</v>
      </c>
      <c r="H43" s="39">
        <f t="shared" si="2"/>
        <v>0</v>
      </c>
    </row>
    <row r="44" spans="1:9" x14ac:dyDescent="0.25">
      <c r="A44" s="7" t="s">
        <v>33</v>
      </c>
      <c r="B44" s="5">
        <v>1</v>
      </c>
      <c r="C44" s="119" t="s">
        <v>14</v>
      </c>
      <c r="D44" s="14">
        <v>2.5099999999999998</v>
      </c>
      <c r="E44" s="34">
        <v>0</v>
      </c>
      <c r="F44" s="39">
        <f>D44*B44</f>
        <v>2.5099999999999998</v>
      </c>
      <c r="G44" s="39">
        <f t="shared" si="1"/>
        <v>2.5099999999999998</v>
      </c>
      <c r="H44" s="39">
        <f t="shared" si="2"/>
        <v>0</v>
      </c>
    </row>
    <row r="45" spans="1:9" x14ac:dyDescent="0.25">
      <c r="A45" s="4" t="s">
        <v>34</v>
      </c>
      <c r="B45" s="89">
        <f>'Universal Input Prices'!$B$35</f>
        <v>5.3999999999999999E-2</v>
      </c>
      <c r="C45" s="119"/>
      <c r="D45" s="22"/>
      <c r="E45" s="36"/>
      <c r="F45" s="158">
        <f>(SUM(F16:F24,F26:F44))*$B45/1.62</f>
        <v>8.0834891076666651</v>
      </c>
      <c r="G45" s="158">
        <f t="shared" ref="G45:H45" si="3">(SUM(G16:G24,G26:G44))*$B45/2</f>
        <v>5.3915188725224992</v>
      </c>
      <c r="H45" s="158">
        <f t="shared" si="3"/>
        <v>1.1561073046875001</v>
      </c>
    </row>
    <row r="46" spans="1:9" x14ac:dyDescent="0.25">
      <c r="A46" s="4"/>
      <c r="B46" s="10"/>
      <c r="C46" s="119"/>
      <c r="D46" s="8"/>
      <c r="E46" s="36"/>
      <c r="F46" s="39"/>
      <c r="G46" s="39"/>
      <c r="H46" s="39"/>
    </row>
    <row r="47" spans="1:9" x14ac:dyDescent="0.25">
      <c r="A47" s="4" t="s">
        <v>205</v>
      </c>
      <c r="B47" s="10"/>
      <c r="C47" s="119"/>
      <c r="D47" s="8"/>
      <c r="E47" s="36"/>
      <c r="F47" s="39">
        <f>SUM(F16:F45)</f>
        <v>280.58816233766663</v>
      </c>
      <c r="G47" s="39">
        <f>SUM(G16:G45)</f>
        <v>235.07740304002249</v>
      </c>
      <c r="H47" s="39">
        <f>SUM(H16:H45)</f>
        <v>43.974896367187505</v>
      </c>
    </row>
    <row r="48" spans="1:9" ht="13.8" x14ac:dyDescent="0.25">
      <c r="A48" s="12" t="s">
        <v>206</v>
      </c>
      <c r="B48" s="10"/>
      <c r="C48" s="119"/>
      <c r="D48" s="8"/>
      <c r="E48" s="36"/>
      <c r="F48" s="72">
        <f>F13-F47</f>
        <v>-28.688162337666625</v>
      </c>
      <c r="G48" s="72">
        <f>G13-G47</f>
        <v>-66.304403040022493</v>
      </c>
      <c r="H48" s="72">
        <f>H13-H47</f>
        <v>39.152103632812491</v>
      </c>
    </row>
    <row r="49" spans="1:9" x14ac:dyDescent="0.25">
      <c r="A49" s="4"/>
      <c r="B49" s="10"/>
      <c r="C49" s="119"/>
      <c r="D49" s="8"/>
      <c r="E49" s="36"/>
      <c r="F49" s="39"/>
      <c r="G49" s="39"/>
      <c r="H49" s="39"/>
    </row>
    <row r="50" spans="1:9" x14ac:dyDescent="0.25">
      <c r="A50" s="4" t="s">
        <v>208</v>
      </c>
      <c r="B50" s="10"/>
      <c r="C50" s="119"/>
      <c r="D50" s="8"/>
      <c r="E50" s="36"/>
      <c r="F50" s="39"/>
      <c r="G50" s="39"/>
      <c r="H50" s="39"/>
    </row>
    <row r="51" spans="1:9" x14ac:dyDescent="0.25">
      <c r="A51" s="7" t="s">
        <v>31</v>
      </c>
      <c r="B51" s="5">
        <v>1</v>
      </c>
      <c r="C51" s="119" t="s">
        <v>14</v>
      </c>
      <c r="D51" s="14">
        <v>18.79</v>
      </c>
      <c r="E51" s="34">
        <v>0</v>
      </c>
      <c r="F51" s="39">
        <f t="shared" ref="F51:F56" si="4">D51*B51</f>
        <v>18.79</v>
      </c>
      <c r="G51" s="39">
        <f t="shared" ref="G51:G59" si="5">F51*(1-E51)</f>
        <v>18.79</v>
      </c>
      <c r="H51" s="39">
        <f t="shared" ref="H51:H59" si="6">F51*E51</f>
        <v>0</v>
      </c>
    </row>
    <row r="52" spans="1:9" x14ac:dyDescent="0.25">
      <c r="A52" s="7" t="s">
        <v>2</v>
      </c>
      <c r="B52" s="5">
        <v>1</v>
      </c>
      <c r="C52" s="119" t="s">
        <v>14</v>
      </c>
      <c r="D52" s="14">
        <v>5.4</v>
      </c>
      <c r="E52" s="34">
        <v>0</v>
      </c>
      <c r="F52" s="39">
        <f t="shared" si="4"/>
        <v>5.4</v>
      </c>
      <c r="G52" s="39">
        <f t="shared" si="5"/>
        <v>5.4</v>
      </c>
      <c r="H52" s="39">
        <f t="shared" si="6"/>
        <v>0</v>
      </c>
    </row>
    <row r="53" spans="1:9" x14ac:dyDescent="0.25">
      <c r="A53" s="2" t="s">
        <v>273</v>
      </c>
      <c r="B53" s="5">
        <v>1</v>
      </c>
      <c r="C53" s="119" t="s">
        <v>14</v>
      </c>
      <c r="D53" s="14">
        <v>33.5</v>
      </c>
      <c r="E53" s="34">
        <v>0</v>
      </c>
      <c r="F53" s="39">
        <f t="shared" si="4"/>
        <v>33.5</v>
      </c>
      <c r="G53" s="39">
        <f t="shared" si="5"/>
        <v>33.5</v>
      </c>
      <c r="H53" s="39">
        <f t="shared" si="6"/>
        <v>0</v>
      </c>
    </row>
    <row r="54" spans="1:9" x14ac:dyDescent="0.25">
      <c r="A54" s="7" t="s">
        <v>204</v>
      </c>
      <c r="B54" s="5">
        <v>1</v>
      </c>
      <c r="C54" s="119" t="s">
        <v>14</v>
      </c>
      <c r="D54" s="14">
        <v>0</v>
      </c>
      <c r="E54" s="34">
        <v>1</v>
      </c>
      <c r="F54" s="39">
        <f t="shared" si="4"/>
        <v>0</v>
      </c>
      <c r="G54" s="39">
        <f t="shared" si="5"/>
        <v>0</v>
      </c>
      <c r="H54" s="39">
        <f t="shared" si="6"/>
        <v>0</v>
      </c>
    </row>
    <row r="55" spans="1:9" x14ac:dyDescent="0.25">
      <c r="A55" s="7" t="s">
        <v>33</v>
      </c>
      <c r="B55" s="5">
        <v>1</v>
      </c>
      <c r="C55" s="119" t="s">
        <v>14</v>
      </c>
      <c r="D55" s="14">
        <v>3.66</v>
      </c>
      <c r="E55" s="34">
        <v>0</v>
      </c>
      <c r="F55" s="39">
        <f t="shared" si="4"/>
        <v>3.66</v>
      </c>
      <c r="G55" s="39">
        <f t="shared" si="5"/>
        <v>3.66</v>
      </c>
      <c r="H55" s="39">
        <f t="shared" si="6"/>
        <v>0</v>
      </c>
    </row>
    <row r="56" spans="1:9" x14ac:dyDescent="0.25">
      <c r="A56" s="7" t="s">
        <v>35</v>
      </c>
      <c r="B56" s="5">
        <v>1</v>
      </c>
      <c r="C56" s="119" t="s">
        <v>14</v>
      </c>
      <c r="D56" s="14">
        <v>0</v>
      </c>
      <c r="E56" s="34">
        <v>0</v>
      </c>
      <c r="F56" s="39">
        <f t="shared" si="4"/>
        <v>0</v>
      </c>
      <c r="G56" s="39">
        <f t="shared" si="5"/>
        <v>0</v>
      </c>
      <c r="H56" s="39">
        <f t="shared" si="6"/>
        <v>0</v>
      </c>
    </row>
    <row r="57" spans="1:9" x14ac:dyDescent="0.25">
      <c r="A57" s="2" t="s">
        <v>272</v>
      </c>
      <c r="B57" s="5">
        <v>1</v>
      </c>
      <c r="C57" s="119" t="s">
        <v>14</v>
      </c>
      <c r="D57" s="14">
        <v>26.57</v>
      </c>
      <c r="E57" s="34">
        <v>0</v>
      </c>
      <c r="F57" s="39">
        <f>B57*D57</f>
        <v>26.57</v>
      </c>
      <c r="G57" s="39">
        <f t="shared" si="5"/>
        <v>26.57</v>
      </c>
      <c r="H57" s="39">
        <f t="shared" si="6"/>
        <v>0</v>
      </c>
    </row>
    <row r="58" spans="1:9" x14ac:dyDescent="0.25">
      <c r="A58" s="7" t="s">
        <v>36</v>
      </c>
      <c r="B58" s="43">
        <v>1</v>
      </c>
      <c r="C58" s="119" t="s">
        <v>14</v>
      </c>
      <c r="D58" s="14">
        <v>72</v>
      </c>
      <c r="E58" s="34">
        <v>1</v>
      </c>
      <c r="F58" s="39">
        <f>D58*B58</f>
        <v>72</v>
      </c>
      <c r="G58" s="39">
        <f>IF($H$6="Cash",D58,F58*(1-E58))</f>
        <v>0</v>
      </c>
      <c r="H58" s="39">
        <f>IF($H$6="Cash",0,F58*E58)</f>
        <v>72</v>
      </c>
    </row>
    <row r="59" spans="1:9" x14ac:dyDescent="0.25">
      <c r="A59" s="7" t="s">
        <v>42</v>
      </c>
      <c r="B59" s="43">
        <v>1</v>
      </c>
      <c r="C59" s="119" t="s">
        <v>14</v>
      </c>
      <c r="D59" s="14">
        <v>0</v>
      </c>
      <c r="E59" s="34">
        <v>1</v>
      </c>
      <c r="F59" s="39">
        <f>B59*D59</f>
        <v>0</v>
      </c>
      <c r="G59" s="39">
        <f t="shared" si="5"/>
        <v>0</v>
      </c>
      <c r="H59" s="39">
        <f t="shared" si="6"/>
        <v>0</v>
      </c>
    </row>
    <row r="60" spans="1:9" ht="12" customHeight="1" x14ac:dyDescent="0.25">
      <c r="A60" s="4" t="s">
        <v>37</v>
      </c>
      <c r="B60" s="5"/>
      <c r="C60" s="119"/>
      <c r="D60" s="10"/>
      <c r="E60" s="36"/>
      <c r="F60" s="39">
        <f>SUM(F51:F59)</f>
        <v>159.91999999999999</v>
      </c>
      <c r="G60" s="39">
        <f>SUM(G51:G59)</f>
        <v>87.919999999999987</v>
      </c>
      <c r="H60" s="39">
        <f>SUM(H51:H59)</f>
        <v>72</v>
      </c>
    </row>
    <row r="61" spans="1:9" x14ac:dyDescent="0.25">
      <c r="A61" s="4" t="s">
        <v>38</v>
      </c>
      <c r="B61" s="5"/>
      <c r="C61" s="119"/>
      <c r="D61" s="10"/>
      <c r="E61" s="36"/>
      <c r="F61" s="39">
        <f>F47+F60</f>
        <v>440.50816233766659</v>
      </c>
      <c r="G61" s="39">
        <f>G47+G60</f>
        <v>322.9974030400225</v>
      </c>
      <c r="H61" s="39">
        <f>H47+H60</f>
        <v>115.97489636718751</v>
      </c>
    </row>
    <row r="62" spans="1:9" ht="13.8" x14ac:dyDescent="0.25">
      <c r="A62" s="12" t="s">
        <v>39</v>
      </c>
      <c r="B62" s="31"/>
      <c r="C62" s="141"/>
      <c r="D62" s="30"/>
      <c r="E62" s="73"/>
      <c r="F62" s="72">
        <f>F13-F61</f>
        <v>-188.60816233766658</v>
      </c>
      <c r="G62" s="72">
        <f>G13-G61</f>
        <v>-154.22440304002251</v>
      </c>
      <c r="H62" s="72">
        <f>H13-H61</f>
        <v>-32.847896367187516</v>
      </c>
      <c r="I62" s="4"/>
    </row>
    <row r="63" spans="1:9" x14ac:dyDescent="0.25">
      <c r="A63" s="4"/>
      <c r="B63" s="5"/>
      <c r="C63" s="119"/>
      <c r="D63" s="10"/>
      <c r="E63" s="36"/>
      <c r="F63" s="8"/>
      <c r="G63" s="8"/>
      <c r="H63" s="8"/>
      <c r="I63" s="4"/>
    </row>
    <row r="64" spans="1:9" ht="13.8" x14ac:dyDescent="0.25">
      <c r="A64" s="113" t="s">
        <v>161</v>
      </c>
      <c r="B64" s="113"/>
      <c r="C64" s="266"/>
      <c r="D64" s="113"/>
      <c r="E64" s="114"/>
      <c r="F64" s="115">
        <f>(F62/F61)</f>
        <v>-0.42816042576094449</v>
      </c>
      <c r="G64" s="115">
        <f t="shared" ref="G64:H64" si="7">(G62/G61)</f>
        <v>-0.47747877100086966</v>
      </c>
      <c r="H64" s="115">
        <f t="shared" si="7"/>
        <v>-0.28323281499806618</v>
      </c>
      <c r="I64" s="4"/>
    </row>
    <row r="65" spans="2:9" x14ac:dyDescent="0.25">
      <c r="B65" s="1"/>
      <c r="C65" s="270"/>
      <c r="D65" s="46"/>
      <c r="E65" s="36"/>
      <c r="F65" s="42"/>
      <c r="G65" s="4"/>
      <c r="H65" s="4"/>
      <c r="I65" s="4"/>
    </row>
    <row r="66" spans="2:9" x14ac:dyDescent="0.25">
      <c r="C66" s="4"/>
      <c r="D66" s="4"/>
      <c r="E66" s="10"/>
      <c r="F66" s="4"/>
      <c r="G66" s="4"/>
      <c r="H66" s="4"/>
      <c r="I66" s="4"/>
    </row>
    <row r="67" spans="2:9" x14ac:dyDescent="0.25">
      <c r="C67" s="4"/>
      <c r="D67" s="4"/>
      <c r="E67" s="10"/>
      <c r="F67" s="4"/>
      <c r="G67" s="4"/>
      <c r="H67" s="4"/>
      <c r="I67" s="4"/>
    </row>
    <row r="68" spans="2:9" x14ac:dyDescent="0.25">
      <c r="C68" s="4"/>
      <c r="D68" s="4"/>
      <c r="E68" s="10"/>
      <c r="F68" s="4"/>
      <c r="G68" s="4"/>
      <c r="H68" s="4"/>
    </row>
    <row r="69" spans="2:9" x14ac:dyDescent="0.25">
      <c r="C69" s="4"/>
      <c r="D69" s="4"/>
      <c r="E69" s="4"/>
      <c r="F69" s="4"/>
      <c r="G69" s="4"/>
      <c r="H69" s="4"/>
    </row>
    <row r="70" spans="2:9" x14ac:dyDescent="0.25">
      <c r="C70" s="4"/>
      <c r="D70" s="4"/>
      <c r="E70" s="46"/>
      <c r="F70" s="4"/>
      <c r="G70" s="4"/>
      <c r="H70"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8:A20">
      <formula1>Fert_Names</formula1>
    </dataValidation>
  </dataValidations>
  <printOptions horizontalCentered="1"/>
  <pageMargins left="0.25" right="0.25" top="0.75" bottom="0.75" header="0.3" footer="0.3"/>
  <pageSetup scale="81"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R71"/>
  <sheetViews>
    <sheetView showGridLines="0" showRowColHeaders="0" workbookViewId="0">
      <pane ySplit="7" topLeftCell="A8" activePane="bottomLeft" state="frozen"/>
      <selection activeCell="B9" sqref="B9"/>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20" t="str">
        <f>'Universal Input Prices'!A19</f>
        <v>Irrigated Other Crop</v>
      </c>
      <c r="B3" s="320"/>
      <c r="C3" s="320"/>
      <c r="D3" s="320"/>
      <c r="E3" s="320"/>
      <c r="F3" s="320"/>
      <c r="G3" s="320"/>
      <c r="H3" s="320"/>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118" t="s">
        <v>4</v>
      </c>
      <c r="C6" s="118" t="s">
        <v>5</v>
      </c>
      <c r="D6" s="118" t="s">
        <v>6</v>
      </c>
      <c r="E6" s="118" t="s">
        <v>53</v>
      </c>
      <c r="F6" s="244" t="s">
        <v>151</v>
      </c>
      <c r="G6" s="244"/>
      <c r="H6" s="112" t="s">
        <v>55</v>
      </c>
      <c r="I6" s="70" t="s">
        <v>103</v>
      </c>
    </row>
    <row r="7" spans="1:18" x14ac:dyDescent="0.25">
      <c r="A7" s="4"/>
      <c r="B7" s="5"/>
      <c r="C7" s="5"/>
      <c r="D7" s="5"/>
      <c r="E7" s="118" t="s">
        <v>55</v>
      </c>
      <c r="F7" s="118" t="s">
        <v>56</v>
      </c>
      <c r="G7" s="118" t="s">
        <v>52</v>
      </c>
      <c r="H7" s="118" t="s">
        <v>53</v>
      </c>
    </row>
    <row r="8" spans="1:18" x14ac:dyDescent="0.25">
      <c r="A8" s="4" t="s">
        <v>7</v>
      </c>
      <c r="B8" s="5"/>
      <c r="C8" s="5"/>
      <c r="D8" s="5"/>
      <c r="E8" s="5"/>
      <c r="F8" s="5"/>
      <c r="G8" s="5"/>
      <c r="H8" s="5"/>
    </row>
    <row r="9" spans="1:18" x14ac:dyDescent="0.25">
      <c r="A9" s="277" t="s">
        <v>172</v>
      </c>
      <c r="B9" s="23">
        <v>0</v>
      </c>
      <c r="C9" s="272" t="str">
        <f>'Universal Input Prices'!C19</f>
        <v>unit</v>
      </c>
      <c r="D9" s="55">
        <f>'Universal Input Prices'!B19</f>
        <v>0</v>
      </c>
      <c r="E9" s="34">
        <v>0.33</v>
      </c>
      <c r="F9" s="39">
        <f>D9*B9</f>
        <v>0</v>
      </c>
      <c r="G9" s="39">
        <f>F9*(1-E9)</f>
        <v>0</v>
      </c>
      <c r="H9" s="39">
        <f>IF(H6="Cash", D59,F9*E9)</f>
        <v>0</v>
      </c>
      <c r="L9" s="52"/>
    </row>
    <row r="10" spans="1:18" x14ac:dyDescent="0.25">
      <c r="A10" s="7" t="s">
        <v>171</v>
      </c>
      <c r="B10" s="33">
        <v>0</v>
      </c>
      <c r="C10" s="265" t="str">
        <f>'Universal Input Prices'!C20</f>
        <v>unit</v>
      </c>
      <c r="D10" s="14">
        <v>0</v>
      </c>
      <c r="E10" s="34">
        <v>0.33</v>
      </c>
      <c r="F10" s="39">
        <f>D10*B10</f>
        <v>0</v>
      </c>
      <c r="G10" s="39">
        <f>F10*(1-E10)</f>
        <v>0</v>
      </c>
      <c r="H10" s="39">
        <f>IF(H6="Cash", 0,F10*E10)</f>
        <v>0</v>
      </c>
      <c r="L10" s="52"/>
    </row>
    <row r="11" spans="1:18" x14ac:dyDescent="0.25">
      <c r="A11" s="9"/>
      <c r="B11" s="21"/>
      <c r="C11" s="264"/>
      <c r="D11" s="8"/>
      <c r="E11" s="36"/>
      <c r="F11" s="39"/>
      <c r="G11" s="39"/>
      <c r="H11" s="39"/>
      <c r="L11" s="52"/>
    </row>
    <row r="12" spans="1:18" x14ac:dyDescent="0.25">
      <c r="A12" s="4" t="s">
        <v>12</v>
      </c>
      <c r="B12" s="5"/>
      <c r="C12" s="119"/>
      <c r="D12" s="8"/>
      <c r="E12" s="36"/>
      <c r="F12" s="39">
        <f>F9+F10</f>
        <v>0</v>
      </c>
      <c r="G12" s="39">
        <f>G9+G10</f>
        <v>0</v>
      </c>
      <c r="H12" s="39">
        <f>H9+H10</f>
        <v>0</v>
      </c>
      <c r="L12" s="52"/>
    </row>
    <row r="13" spans="1:18" x14ac:dyDescent="0.25">
      <c r="A13" s="4"/>
      <c r="B13" s="5"/>
      <c r="C13" s="119"/>
      <c r="D13" s="8"/>
      <c r="E13" s="36"/>
      <c r="F13" s="39"/>
      <c r="G13" s="39"/>
      <c r="H13" s="39"/>
      <c r="L13" s="52"/>
    </row>
    <row r="14" spans="1:18" x14ac:dyDescent="0.25">
      <c r="A14" s="4" t="s">
        <v>207</v>
      </c>
      <c r="B14" s="5"/>
      <c r="C14" s="119"/>
      <c r="D14" s="8"/>
      <c r="E14" s="36"/>
      <c r="F14" s="39"/>
      <c r="G14" s="39"/>
      <c r="H14" s="39"/>
      <c r="L14" s="52"/>
    </row>
    <row r="15" spans="1:18" x14ac:dyDescent="0.25">
      <c r="A15" s="4" t="s">
        <v>1</v>
      </c>
      <c r="B15" s="28">
        <v>0</v>
      </c>
      <c r="C15" s="265" t="s">
        <v>170</v>
      </c>
      <c r="D15" s="13">
        <v>0</v>
      </c>
      <c r="E15" s="34">
        <v>0</v>
      </c>
      <c r="F15" s="39">
        <f>D15*B15</f>
        <v>0</v>
      </c>
      <c r="G15" s="39">
        <f>F15*(1-E15)</f>
        <v>0</v>
      </c>
      <c r="H15" s="39">
        <f>F15*E15</f>
        <v>0</v>
      </c>
    </row>
    <row r="16" spans="1:18" x14ac:dyDescent="0.25">
      <c r="A16" s="4" t="s">
        <v>0</v>
      </c>
      <c r="B16" s="26"/>
      <c r="C16" s="119"/>
      <c r="D16" s="15"/>
      <c r="E16" s="36"/>
      <c r="F16" s="39"/>
      <c r="G16" s="39"/>
      <c r="H16" s="39"/>
    </row>
    <row r="17" spans="1:8" x14ac:dyDescent="0.25">
      <c r="A17" s="302" t="s">
        <v>255</v>
      </c>
      <c r="B17" s="24">
        <v>0</v>
      </c>
      <c r="C17" s="119" t="s">
        <v>79</v>
      </c>
      <c r="D17" s="54">
        <f>IF(A17="",0,VLOOKUP(A17,'Universal Input Prices'!$A$26:$B$30, 2))</f>
        <v>0.25000000000000006</v>
      </c>
      <c r="E17" s="34">
        <v>0.33</v>
      </c>
      <c r="F17" s="39">
        <f t="shared" ref="F17:F18" si="0">D17*B17</f>
        <v>0</v>
      </c>
      <c r="G17" s="39">
        <f t="shared" ref="G17:G18" si="1">F17*(1-E17)</f>
        <v>0</v>
      </c>
      <c r="H17" s="39">
        <f t="shared" ref="H17:H18" si="2">F17*E17</f>
        <v>0</v>
      </c>
    </row>
    <row r="18" spans="1:8" x14ac:dyDescent="0.25">
      <c r="A18" s="302" t="s">
        <v>134</v>
      </c>
      <c r="B18" s="24">
        <v>0</v>
      </c>
      <c r="C18" s="119" t="s">
        <v>79</v>
      </c>
      <c r="D18" s="54">
        <f>IF(A18="",0,VLOOKUP(A18,'Universal Input Prices'!$A$26:$B$30, 2))</f>
        <v>0.33043478260869563</v>
      </c>
      <c r="E18" s="34">
        <v>0.33</v>
      </c>
      <c r="F18" s="39">
        <f t="shared" si="0"/>
        <v>0</v>
      </c>
      <c r="G18" s="39">
        <f t="shared" si="1"/>
        <v>0</v>
      </c>
      <c r="H18" s="39">
        <f t="shared" si="2"/>
        <v>0</v>
      </c>
    </row>
    <row r="19" spans="1:8" x14ac:dyDescent="0.25">
      <c r="A19" s="302" t="s">
        <v>135</v>
      </c>
      <c r="B19" s="24">
        <v>0</v>
      </c>
      <c r="C19" s="119" t="s">
        <v>79</v>
      </c>
      <c r="D19" s="54">
        <f>IF(A19="",0,VLOOKUP(A19,'Universal Input Prices'!$A$26:$B$30, 2))</f>
        <v>0.41015625</v>
      </c>
      <c r="E19" s="34">
        <v>0.33</v>
      </c>
      <c r="F19" s="39">
        <f>D19*B19</f>
        <v>0</v>
      </c>
      <c r="G19" s="39">
        <f>F19*(1-E19)</f>
        <v>0</v>
      </c>
      <c r="H19" s="39">
        <f>F19*E19</f>
        <v>0</v>
      </c>
    </row>
    <row r="20" spans="1:8" x14ac:dyDescent="0.25">
      <c r="A20" s="302" t="s">
        <v>133</v>
      </c>
      <c r="B20" s="24">
        <v>0</v>
      </c>
      <c r="C20" s="119" t="s">
        <v>79</v>
      </c>
      <c r="D20" s="54">
        <f>IF(A20="",0,VLOOKUP(A20,'Universal Input Prices'!$A$26:$B$30, 2))</f>
        <v>0.42980769230769234</v>
      </c>
      <c r="E20" s="34">
        <v>0.33</v>
      </c>
      <c r="F20" s="39">
        <f>D20*B20</f>
        <v>0</v>
      </c>
      <c r="G20" s="39">
        <f>F20*(1-E20)</f>
        <v>0</v>
      </c>
      <c r="H20" s="39">
        <f>F20*E20</f>
        <v>0</v>
      </c>
    </row>
    <row r="21" spans="1:8" x14ac:dyDescent="0.25">
      <c r="A21" s="302" t="s">
        <v>136</v>
      </c>
      <c r="B21" s="24">
        <v>0</v>
      </c>
      <c r="C21" s="119" t="s">
        <v>79</v>
      </c>
      <c r="D21" s="54">
        <f>IF(A21="",0,VLOOKUP(A21,'Universal Input Prices'!$A$26:$B$30, 2))</f>
        <v>0.47</v>
      </c>
      <c r="E21" s="34">
        <v>0.33</v>
      </c>
      <c r="F21" s="39">
        <f>D21*B21</f>
        <v>0</v>
      </c>
      <c r="G21" s="39">
        <f>F21*(1-E21)</f>
        <v>0</v>
      </c>
      <c r="H21" s="39">
        <f>F21*E21</f>
        <v>0</v>
      </c>
    </row>
    <row r="22" spans="1:8" x14ac:dyDescent="0.25">
      <c r="A22" s="4" t="s">
        <v>15</v>
      </c>
      <c r="B22" s="27"/>
      <c r="C22" s="119"/>
      <c r="D22" s="8"/>
      <c r="E22" s="36"/>
      <c r="F22" s="39"/>
      <c r="G22" s="39"/>
      <c r="H22" s="39"/>
    </row>
    <row r="23" spans="1:8" x14ac:dyDescent="0.25">
      <c r="A23" s="2" t="s">
        <v>236</v>
      </c>
      <c r="B23" s="24">
        <v>1</v>
      </c>
      <c r="C23" s="119" t="s">
        <v>14</v>
      </c>
      <c r="D23" s="14">
        <v>0</v>
      </c>
      <c r="E23" s="34">
        <v>0.33</v>
      </c>
      <c r="F23" s="39">
        <f t="shared" ref="F23:F37" si="3">D23*B23</f>
        <v>0</v>
      </c>
      <c r="G23" s="39">
        <f t="shared" ref="G23:G45" si="4">F23*(1-E23)</f>
        <v>0</v>
      </c>
      <c r="H23" s="39">
        <f t="shared" ref="H23:H45" si="5">F23*E23</f>
        <v>0</v>
      </c>
    </row>
    <row r="24" spans="1:8" x14ac:dyDescent="0.25">
      <c r="A24" s="2" t="s">
        <v>43</v>
      </c>
      <c r="B24" s="24">
        <v>0</v>
      </c>
      <c r="C24" s="119" t="s">
        <v>14</v>
      </c>
      <c r="D24" s="14">
        <v>11.75</v>
      </c>
      <c r="E24" s="34">
        <v>0.33</v>
      </c>
      <c r="F24" s="39">
        <f t="shared" si="3"/>
        <v>0</v>
      </c>
      <c r="G24" s="39">
        <f t="shared" si="4"/>
        <v>0</v>
      </c>
      <c r="H24" s="39">
        <f t="shared" si="5"/>
        <v>0</v>
      </c>
    </row>
    <row r="25" spans="1:8" x14ac:dyDescent="0.25">
      <c r="A25" s="2" t="s">
        <v>237</v>
      </c>
      <c r="B25" s="24">
        <v>0</v>
      </c>
      <c r="C25" s="119" t="s">
        <v>14</v>
      </c>
      <c r="D25" s="14">
        <v>0</v>
      </c>
      <c r="E25" s="34">
        <v>0.33</v>
      </c>
      <c r="F25" s="39">
        <f t="shared" si="3"/>
        <v>0</v>
      </c>
      <c r="G25" s="39">
        <f t="shared" si="4"/>
        <v>0</v>
      </c>
      <c r="H25" s="39">
        <f t="shared" si="5"/>
        <v>0</v>
      </c>
    </row>
    <row r="26" spans="1:8" x14ac:dyDescent="0.25">
      <c r="A26" s="2" t="s">
        <v>47</v>
      </c>
      <c r="B26" s="27">
        <f>B9</f>
        <v>0</v>
      </c>
      <c r="C26" s="119" t="str">
        <f>C9</f>
        <v>unit</v>
      </c>
      <c r="D26" s="14">
        <v>0</v>
      </c>
      <c r="E26" s="34">
        <v>0</v>
      </c>
      <c r="F26" s="39">
        <f t="shared" si="3"/>
        <v>0</v>
      </c>
      <c r="G26" s="39">
        <f t="shared" si="4"/>
        <v>0</v>
      </c>
      <c r="H26" s="39">
        <f t="shared" si="5"/>
        <v>0</v>
      </c>
    </row>
    <row r="27" spans="1:8" x14ac:dyDescent="0.25">
      <c r="A27" s="7" t="s">
        <v>173</v>
      </c>
      <c r="B27" s="24">
        <v>1</v>
      </c>
      <c r="C27" s="119" t="s">
        <v>14</v>
      </c>
      <c r="D27" s="14">
        <v>0</v>
      </c>
      <c r="E27" s="34">
        <v>0</v>
      </c>
      <c r="F27" s="39">
        <f t="shared" si="3"/>
        <v>0</v>
      </c>
      <c r="G27" s="39">
        <f t="shared" si="4"/>
        <v>0</v>
      </c>
      <c r="H27" s="39">
        <f t="shared" si="5"/>
        <v>0</v>
      </c>
    </row>
    <row r="28" spans="1:8" x14ac:dyDescent="0.25">
      <c r="A28" s="2" t="s">
        <v>21</v>
      </c>
      <c r="B28" s="24">
        <v>1</v>
      </c>
      <c r="C28" s="119" t="s">
        <v>14</v>
      </c>
      <c r="D28" s="14">
        <v>0</v>
      </c>
      <c r="E28" s="34">
        <v>0</v>
      </c>
      <c r="F28" s="39">
        <f>D28*B28</f>
        <v>0</v>
      </c>
      <c r="G28" s="39">
        <f>F28*(1-E28)</f>
        <v>0</v>
      </c>
      <c r="H28" s="39">
        <f>F28*E28</f>
        <v>0</v>
      </c>
    </row>
    <row r="29" spans="1:8" x14ac:dyDescent="0.25">
      <c r="A29" s="16" t="s">
        <v>40</v>
      </c>
      <c r="B29" s="24">
        <v>1</v>
      </c>
      <c r="C29" s="265" t="s">
        <v>14</v>
      </c>
      <c r="D29" s="14">
        <v>0</v>
      </c>
      <c r="E29" s="34">
        <v>0</v>
      </c>
      <c r="F29" s="39">
        <f t="shared" si="3"/>
        <v>0</v>
      </c>
      <c r="G29" s="39">
        <f t="shared" si="4"/>
        <v>0</v>
      </c>
      <c r="H29" s="39">
        <f t="shared" si="5"/>
        <v>0</v>
      </c>
    </row>
    <row r="30" spans="1:8" x14ac:dyDescent="0.25">
      <c r="A30" s="16" t="s">
        <v>40</v>
      </c>
      <c r="B30" s="24">
        <v>1</v>
      </c>
      <c r="C30" s="265" t="s">
        <v>14</v>
      </c>
      <c r="D30" s="14">
        <v>0</v>
      </c>
      <c r="E30" s="34">
        <v>0</v>
      </c>
      <c r="F30" s="39">
        <f t="shared" si="3"/>
        <v>0</v>
      </c>
      <c r="G30" s="39">
        <f t="shared" si="4"/>
        <v>0</v>
      </c>
      <c r="H30" s="39">
        <f t="shared" si="5"/>
        <v>0</v>
      </c>
    </row>
    <row r="31" spans="1:8" x14ac:dyDescent="0.25">
      <c r="A31" s="16" t="s">
        <v>40</v>
      </c>
      <c r="B31" s="24">
        <v>1</v>
      </c>
      <c r="C31" s="265" t="s">
        <v>14</v>
      </c>
      <c r="D31" s="14">
        <v>0</v>
      </c>
      <c r="E31" s="34">
        <v>0</v>
      </c>
      <c r="F31" s="39">
        <f t="shared" si="3"/>
        <v>0</v>
      </c>
      <c r="G31" s="39">
        <f t="shared" si="4"/>
        <v>0</v>
      </c>
      <c r="H31" s="39">
        <f t="shared" si="5"/>
        <v>0</v>
      </c>
    </row>
    <row r="32" spans="1:8" x14ac:dyDescent="0.25">
      <c r="A32" s="4" t="s">
        <v>22</v>
      </c>
      <c r="B32" s="24">
        <v>1</v>
      </c>
      <c r="C32" s="119" t="s">
        <v>14</v>
      </c>
      <c r="D32" s="14">
        <v>0</v>
      </c>
      <c r="E32" s="34">
        <v>0.33</v>
      </c>
      <c r="F32" s="39">
        <f t="shared" si="3"/>
        <v>0</v>
      </c>
      <c r="G32" s="39">
        <f t="shared" si="4"/>
        <v>0</v>
      </c>
      <c r="H32" s="39">
        <f t="shared" si="5"/>
        <v>0</v>
      </c>
    </row>
    <row r="33" spans="1:9" x14ac:dyDescent="0.25">
      <c r="A33" s="4" t="s">
        <v>140</v>
      </c>
      <c r="B33" s="28">
        <v>0</v>
      </c>
      <c r="C33" s="119" t="s">
        <v>23</v>
      </c>
      <c r="D33" s="55">
        <f>'Universal Input Prices'!$B$31</f>
        <v>12.45</v>
      </c>
      <c r="E33" s="34">
        <v>0</v>
      </c>
      <c r="F33" s="39">
        <f t="shared" si="3"/>
        <v>0</v>
      </c>
      <c r="G33" s="39">
        <f t="shared" si="4"/>
        <v>0</v>
      </c>
      <c r="H33" s="39">
        <f t="shared" si="5"/>
        <v>0</v>
      </c>
    </row>
    <row r="34" spans="1:9" x14ac:dyDescent="0.25">
      <c r="A34" s="4" t="s">
        <v>24</v>
      </c>
      <c r="B34" s="28">
        <v>0</v>
      </c>
      <c r="C34" s="119" t="s">
        <v>23</v>
      </c>
      <c r="D34" s="55">
        <f>'Universal Input Prices'!$B$31</f>
        <v>12.45</v>
      </c>
      <c r="E34" s="34">
        <v>0</v>
      </c>
      <c r="F34" s="39">
        <f t="shared" si="3"/>
        <v>0</v>
      </c>
      <c r="G34" s="39">
        <f t="shared" si="4"/>
        <v>0</v>
      </c>
      <c r="H34" s="39">
        <f t="shared" si="5"/>
        <v>0</v>
      </c>
    </row>
    <row r="35" spans="1:9" x14ac:dyDescent="0.25">
      <c r="A35" s="4" t="s">
        <v>25</v>
      </c>
      <c r="B35" s="28">
        <v>0</v>
      </c>
      <c r="C35" s="119" t="s">
        <v>26</v>
      </c>
      <c r="D35" s="55">
        <f>'Universal Input Prices'!$B$32</f>
        <v>1.81</v>
      </c>
      <c r="E35" s="34">
        <v>0</v>
      </c>
      <c r="F35" s="39">
        <f t="shared" si="3"/>
        <v>0</v>
      </c>
      <c r="G35" s="39">
        <f t="shared" si="4"/>
        <v>0</v>
      </c>
      <c r="H35" s="39">
        <f t="shared" si="5"/>
        <v>0</v>
      </c>
    </row>
    <row r="36" spans="1:9" x14ac:dyDescent="0.25">
      <c r="A36" s="4" t="s">
        <v>27</v>
      </c>
      <c r="B36" s="28">
        <v>0</v>
      </c>
      <c r="C36" s="119" t="s">
        <v>26</v>
      </c>
      <c r="D36" s="55">
        <f>'Universal Input Prices'!$B$33</f>
        <v>1.9259999999999999</v>
      </c>
      <c r="E36" s="34">
        <v>0</v>
      </c>
      <c r="F36" s="39">
        <f t="shared" si="3"/>
        <v>0</v>
      </c>
      <c r="G36" s="39">
        <f t="shared" si="4"/>
        <v>0</v>
      </c>
      <c r="H36" s="39">
        <f t="shared" si="5"/>
        <v>0</v>
      </c>
    </row>
    <row r="37" spans="1:9" x14ac:dyDescent="0.25">
      <c r="A37" s="4" t="s">
        <v>28</v>
      </c>
      <c r="B37" s="28">
        <v>0</v>
      </c>
      <c r="C37" s="119" t="s">
        <v>29</v>
      </c>
      <c r="D37" s="55">
        <f>'Universal Input Prices'!$B$34</f>
        <v>3.6</v>
      </c>
      <c r="E37" s="34">
        <v>0.33</v>
      </c>
      <c r="F37" s="39">
        <f t="shared" si="3"/>
        <v>0</v>
      </c>
      <c r="G37" s="39">
        <f t="shared" si="4"/>
        <v>0</v>
      </c>
      <c r="H37" s="39">
        <f t="shared" si="5"/>
        <v>0</v>
      </c>
    </row>
    <row r="38" spans="1:9" hidden="1" x14ac:dyDescent="0.25">
      <c r="A38" s="4" t="s">
        <v>248</v>
      </c>
      <c r="B38" s="28">
        <v>70.709999999999994</v>
      </c>
      <c r="C38" s="119"/>
      <c r="D38" s="55"/>
      <c r="E38" s="34"/>
      <c r="F38" s="39"/>
      <c r="G38" s="39"/>
      <c r="H38" s="39"/>
      <c r="I38" s="4"/>
    </row>
    <row r="39" spans="1:9" hidden="1" x14ac:dyDescent="0.25">
      <c r="A39" s="4" t="s">
        <v>249</v>
      </c>
      <c r="B39" s="48">
        <f>B37*18.85694/B38</f>
        <v>0</v>
      </c>
      <c r="C39" s="119"/>
      <c r="D39" s="55"/>
      <c r="E39" s="34"/>
      <c r="F39" s="39"/>
      <c r="G39" s="39"/>
      <c r="H39" s="39"/>
      <c r="I39" s="4"/>
    </row>
    <row r="40" spans="1:9" x14ac:dyDescent="0.25">
      <c r="A40" s="4" t="s">
        <v>30</v>
      </c>
      <c r="B40" s="5"/>
      <c r="C40" s="119"/>
      <c r="D40" s="15"/>
      <c r="E40" s="36"/>
      <c r="F40" s="39"/>
      <c r="G40" s="39"/>
      <c r="H40" s="39"/>
    </row>
    <row r="41" spans="1:9" x14ac:dyDescent="0.25">
      <c r="A41" s="7" t="s">
        <v>31</v>
      </c>
      <c r="B41" s="28">
        <v>0</v>
      </c>
      <c r="C41" s="119" t="s">
        <v>14</v>
      </c>
      <c r="D41" s="14">
        <v>4.47</v>
      </c>
      <c r="E41" s="34">
        <v>0</v>
      </c>
      <c r="F41" s="39">
        <f>D41*B41</f>
        <v>0</v>
      </c>
      <c r="G41" s="39">
        <f t="shared" si="4"/>
        <v>0</v>
      </c>
      <c r="H41" s="39">
        <f t="shared" si="5"/>
        <v>0</v>
      </c>
    </row>
    <row r="42" spans="1:9" x14ac:dyDescent="0.25">
      <c r="A42" s="7" t="s">
        <v>2</v>
      </c>
      <c r="B42" s="28">
        <v>0</v>
      </c>
      <c r="C42" s="119" t="s">
        <v>14</v>
      </c>
      <c r="D42" s="14">
        <v>5.55</v>
      </c>
      <c r="E42" s="34">
        <v>0</v>
      </c>
      <c r="F42" s="39">
        <f>D42*B42</f>
        <v>0</v>
      </c>
      <c r="G42" s="39">
        <f t="shared" si="4"/>
        <v>0</v>
      </c>
      <c r="H42" s="39">
        <f t="shared" si="5"/>
        <v>0</v>
      </c>
    </row>
    <row r="43" spans="1:9" x14ac:dyDescent="0.25">
      <c r="A43" s="7" t="s">
        <v>32</v>
      </c>
      <c r="B43" s="48">
        <f>Other_Inches</f>
        <v>0</v>
      </c>
      <c r="C43" s="119" t="s">
        <v>29</v>
      </c>
      <c r="D43" s="14">
        <v>4.04</v>
      </c>
      <c r="E43" s="34">
        <v>0</v>
      </c>
      <c r="F43" s="39">
        <f>D43*B43</f>
        <v>0</v>
      </c>
      <c r="G43" s="39">
        <f t="shared" si="4"/>
        <v>0</v>
      </c>
      <c r="H43" s="39">
        <f t="shared" si="5"/>
        <v>0</v>
      </c>
    </row>
    <row r="44" spans="1:9" x14ac:dyDescent="0.25">
      <c r="A44" s="7" t="s">
        <v>204</v>
      </c>
      <c r="B44" s="28">
        <v>0</v>
      </c>
      <c r="C44" s="119" t="s">
        <v>14</v>
      </c>
      <c r="D44" s="14">
        <v>0.16</v>
      </c>
      <c r="E44" s="34">
        <v>1</v>
      </c>
      <c r="F44" s="39">
        <f>D44*B44</f>
        <v>0</v>
      </c>
      <c r="G44" s="39">
        <f t="shared" si="4"/>
        <v>0</v>
      </c>
      <c r="H44" s="39">
        <f t="shared" si="5"/>
        <v>0</v>
      </c>
    </row>
    <row r="45" spans="1:9" x14ac:dyDescent="0.25">
      <c r="A45" s="7" t="s">
        <v>33</v>
      </c>
      <c r="B45" s="28">
        <v>1</v>
      </c>
      <c r="C45" s="119" t="s">
        <v>14</v>
      </c>
      <c r="D45" s="14">
        <v>0</v>
      </c>
      <c r="E45" s="34">
        <v>0</v>
      </c>
      <c r="F45" s="39">
        <f>D45*B45</f>
        <v>0</v>
      </c>
      <c r="G45" s="39">
        <f t="shared" si="4"/>
        <v>0</v>
      </c>
      <c r="H45" s="39">
        <f t="shared" si="5"/>
        <v>0</v>
      </c>
    </row>
    <row r="46" spans="1:9" x14ac:dyDescent="0.25">
      <c r="A46" s="4" t="s">
        <v>34</v>
      </c>
      <c r="B46" s="89">
        <f>'Universal Input Prices'!$B$35</f>
        <v>5.3999999999999999E-2</v>
      </c>
      <c r="C46" s="119"/>
      <c r="D46" s="22"/>
      <c r="E46" s="36"/>
      <c r="F46" s="158">
        <f>(SUM(F15:F25,F27:F45))*$B46/2</f>
        <v>0</v>
      </c>
      <c r="G46" s="158">
        <f t="shared" ref="G46:H46" si="6">(SUM(G15:G25,G27:G45))*$B46/2</f>
        <v>0</v>
      </c>
      <c r="H46" s="158">
        <f t="shared" si="6"/>
        <v>0</v>
      </c>
    </row>
    <row r="47" spans="1:9" x14ac:dyDescent="0.25">
      <c r="A47" s="4"/>
      <c r="B47" s="10"/>
      <c r="C47" s="119"/>
      <c r="D47" s="8"/>
      <c r="E47" s="36"/>
      <c r="F47" s="39"/>
      <c r="G47" s="39"/>
      <c r="H47" s="39"/>
    </row>
    <row r="48" spans="1:9" x14ac:dyDescent="0.25">
      <c r="A48" s="4" t="s">
        <v>205</v>
      </c>
      <c r="B48" s="10"/>
      <c r="C48" s="119"/>
      <c r="D48" s="8"/>
      <c r="E48" s="36"/>
      <c r="F48" s="39">
        <f>SUM(F15:F46)</f>
        <v>0</v>
      </c>
      <c r="G48" s="39">
        <f>SUM(G15:G46)</f>
        <v>0</v>
      </c>
      <c r="H48" s="39">
        <f>SUM(H15:H46)</f>
        <v>0</v>
      </c>
    </row>
    <row r="49" spans="1:9" ht="13.8" x14ac:dyDescent="0.25">
      <c r="A49" s="12" t="s">
        <v>206</v>
      </c>
      <c r="B49" s="10"/>
      <c r="C49" s="119"/>
      <c r="D49" s="8"/>
      <c r="E49" s="36"/>
      <c r="F49" s="72">
        <f>F12-F48</f>
        <v>0</v>
      </c>
      <c r="G49" s="72">
        <f>G12-G48</f>
        <v>0</v>
      </c>
      <c r="H49" s="72">
        <f>H12-H48</f>
        <v>0</v>
      </c>
    </row>
    <row r="50" spans="1:9" x14ac:dyDescent="0.25">
      <c r="A50" s="4"/>
      <c r="B50" s="10"/>
      <c r="C50" s="119"/>
      <c r="D50" s="8"/>
      <c r="E50" s="36"/>
      <c r="F50" s="39"/>
      <c r="G50" s="39"/>
      <c r="H50" s="39"/>
    </row>
    <row r="51" spans="1:9" x14ac:dyDescent="0.25">
      <c r="A51" s="4" t="s">
        <v>208</v>
      </c>
      <c r="B51" s="10"/>
      <c r="C51" s="119"/>
      <c r="D51" s="8"/>
      <c r="E51" s="36"/>
      <c r="F51" s="39"/>
      <c r="G51" s="39"/>
      <c r="H51" s="39"/>
    </row>
    <row r="52" spans="1:9" x14ac:dyDescent="0.25">
      <c r="A52" s="7" t="s">
        <v>31</v>
      </c>
      <c r="B52" s="28">
        <v>0</v>
      </c>
      <c r="C52" s="119" t="s">
        <v>14</v>
      </c>
      <c r="D52" s="14">
        <v>7.04</v>
      </c>
      <c r="E52" s="34">
        <v>0</v>
      </c>
      <c r="F52" s="39">
        <f t="shared" ref="F52:F57" si="7">D52*B52</f>
        <v>0</v>
      </c>
      <c r="G52" s="39">
        <f t="shared" ref="G52:G60" si="8">F52*(1-E52)</f>
        <v>0</v>
      </c>
      <c r="H52" s="39">
        <f t="shared" ref="H52:H60" si="9">F52*E52</f>
        <v>0</v>
      </c>
    </row>
    <row r="53" spans="1:9" x14ac:dyDescent="0.25">
      <c r="A53" s="7" t="s">
        <v>2</v>
      </c>
      <c r="B53" s="28">
        <v>0</v>
      </c>
      <c r="C53" s="119" t="s">
        <v>14</v>
      </c>
      <c r="D53" s="14">
        <v>7.89</v>
      </c>
      <c r="E53" s="34">
        <v>0</v>
      </c>
      <c r="F53" s="39">
        <f t="shared" si="7"/>
        <v>0</v>
      </c>
      <c r="G53" s="39">
        <f t="shared" si="8"/>
        <v>0</v>
      </c>
      <c r="H53" s="39">
        <f t="shared" si="9"/>
        <v>0</v>
      </c>
    </row>
    <row r="54" spans="1:9" x14ac:dyDescent="0.25">
      <c r="A54" s="7" t="s">
        <v>32</v>
      </c>
      <c r="B54" s="28">
        <v>0</v>
      </c>
      <c r="C54" s="119" t="s">
        <v>14</v>
      </c>
      <c r="D54" s="14">
        <v>35.56</v>
      </c>
      <c r="E54" s="34">
        <v>0</v>
      </c>
      <c r="F54" s="39">
        <f t="shared" si="7"/>
        <v>0</v>
      </c>
      <c r="G54" s="39">
        <f t="shared" si="8"/>
        <v>0</v>
      </c>
      <c r="H54" s="39">
        <f t="shared" si="9"/>
        <v>0</v>
      </c>
    </row>
    <row r="55" spans="1:9" x14ac:dyDescent="0.25">
      <c r="A55" s="7" t="s">
        <v>204</v>
      </c>
      <c r="B55" s="28">
        <v>0</v>
      </c>
      <c r="C55" s="119" t="s">
        <v>14</v>
      </c>
      <c r="D55" s="14">
        <v>0.24</v>
      </c>
      <c r="E55" s="34">
        <v>1</v>
      </c>
      <c r="F55" s="39">
        <f t="shared" si="7"/>
        <v>0</v>
      </c>
      <c r="G55" s="39">
        <f t="shared" si="8"/>
        <v>0</v>
      </c>
      <c r="H55" s="39">
        <f t="shared" si="9"/>
        <v>0</v>
      </c>
    </row>
    <row r="56" spans="1:9" x14ac:dyDescent="0.25">
      <c r="A56" s="7" t="s">
        <v>33</v>
      </c>
      <c r="B56" s="28">
        <v>1</v>
      </c>
      <c r="C56" s="119" t="s">
        <v>14</v>
      </c>
      <c r="D56" s="14">
        <v>0</v>
      </c>
      <c r="E56" s="34">
        <v>0</v>
      </c>
      <c r="F56" s="39">
        <f t="shared" si="7"/>
        <v>0</v>
      </c>
      <c r="G56" s="39">
        <f t="shared" si="8"/>
        <v>0</v>
      </c>
      <c r="H56" s="39">
        <f t="shared" si="9"/>
        <v>0</v>
      </c>
    </row>
    <row r="57" spans="1:9" x14ac:dyDescent="0.25">
      <c r="A57" s="7" t="s">
        <v>35</v>
      </c>
      <c r="B57" s="28">
        <v>1</v>
      </c>
      <c r="C57" s="119" t="s">
        <v>14</v>
      </c>
      <c r="D57" s="14">
        <v>0</v>
      </c>
      <c r="E57" s="34">
        <v>0</v>
      </c>
      <c r="F57" s="39">
        <f t="shared" si="7"/>
        <v>0</v>
      </c>
      <c r="G57" s="39">
        <f t="shared" si="8"/>
        <v>0</v>
      </c>
      <c r="H57" s="39">
        <f t="shared" si="9"/>
        <v>0</v>
      </c>
    </row>
    <row r="58" spans="1:9" x14ac:dyDescent="0.25">
      <c r="A58" s="7" t="s">
        <v>41</v>
      </c>
      <c r="B58" s="28">
        <v>1</v>
      </c>
      <c r="C58" s="119" t="s">
        <v>14</v>
      </c>
      <c r="D58" s="14">
        <v>0</v>
      </c>
      <c r="E58" s="34">
        <v>0</v>
      </c>
      <c r="F58" s="39">
        <f>B58*D58</f>
        <v>0</v>
      </c>
      <c r="G58" s="39">
        <f t="shared" si="8"/>
        <v>0</v>
      </c>
      <c r="H58" s="39">
        <f t="shared" si="9"/>
        <v>0</v>
      </c>
    </row>
    <row r="59" spans="1:9" x14ac:dyDescent="0.25">
      <c r="A59" s="7" t="s">
        <v>36</v>
      </c>
      <c r="B59" s="28">
        <v>0</v>
      </c>
      <c r="C59" s="119" t="s">
        <v>14</v>
      </c>
      <c r="D59" s="14">
        <v>85</v>
      </c>
      <c r="E59" s="34">
        <v>1</v>
      </c>
      <c r="F59" s="39">
        <f>D59*B59</f>
        <v>0</v>
      </c>
      <c r="G59" s="39">
        <f>IF($H$6="Cash",D59,F59*(1-E59))</f>
        <v>0</v>
      </c>
      <c r="H59" s="39">
        <f>IF($H$6="Cash",0,F59*E59)</f>
        <v>0</v>
      </c>
    </row>
    <row r="60" spans="1:9" x14ac:dyDescent="0.25">
      <c r="A60" s="7" t="s">
        <v>42</v>
      </c>
      <c r="B60" s="28">
        <v>1</v>
      </c>
      <c r="C60" s="119" t="s">
        <v>14</v>
      </c>
      <c r="D60" s="14">
        <v>0</v>
      </c>
      <c r="E60" s="34">
        <v>1</v>
      </c>
      <c r="F60" s="39">
        <f>B60*D60</f>
        <v>0</v>
      </c>
      <c r="G60" s="39">
        <f t="shared" si="8"/>
        <v>0</v>
      </c>
      <c r="H60" s="39">
        <f t="shared" si="9"/>
        <v>0</v>
      </c>
    </row>
    <row r="61" spans="1:9" ht="12" customHeight="1" x14ac:dyDescent="0.25">
      <c r="A61" s="4" t="s">
        <v>37</v>
      </c>
      <c r="B61" s="5"/>
      <c r="C61" s="119"/>
      <c r="D61" s="10"/>
      <c r="E61" s="36"/>
      <c r="F61" s="39">
        <f>SUM(F52:F60)</f>
        <v>0</v>
      </c>
      <c r="G61" s="39">
        <f>SUM(G52:G60)</f>
        <v>0</v>
      </c>
      <c r="H61" s="39">
        <f>SUM(H52:H60)</f>
        <v>0</v>
      </c>
    </row>
    <row r="62" spans="1:9" x14ac:dyDescent="0.25">
      <c r="A62" s="4" t="s">
        <v>38</v>
      </c>
      <c r="B62" s="5"/>
      <c r="C62" s="119"/>
      <c r="D62" s="10"/>
      <c r="E62" s="36"/>
      <c r="F62" s="39">
        <f>F48+F61</f>
        <v>0</v>
      </c>
      <c r="G62" s="39">
        <f>G48+G61</f>
        <v>0</v>
      </c>
      <c r="H62" s="39">
        <f>H48+H61</f>
        <v>0</v>
      </c>
    </row>
    <row r="63" spans="1:9" ht="13.8" x14ac:dyDescent="0.25">
      <c r="A63" s="12" t="s">
        <v>39</v>
      </c>
      <c r="B63" s="31"/>
      <c r="C63" s="141"/>
      <c r="D63" s="30"/>
      <c r="E63" s="73"/>
      <c r="F63" s="72">
        <f>F12-F62</f>
        <v>0</v>
      </c>
      <c r="G63" s="72">
        <f>G12-G62</f>
        <v>0</v>
      </c>
      <c r="H63" s="72">
        <f>H12-H62</f>
        <v>0</v>
      </c>
      <c r="I63" s="4"/>
    </row>
    <row r="64" spans="1:9" x14ac:dyDescent="0.25">
      <c r="A64" s="4"/>
      <c r="B64" s="5"/>
      <c r="C64" s="119"/>
      <c r="D64" s="10"/>
      <c r="E64" s="36"/>
      <c r="F64" s="8"/>
      <c r="G64" s="8"/>
      <c r="H64" s="8"/>
      <c r="I64" s="4"/>
    </row>
    <row r="65" spans="1:9" ht="13.8" x14ac:dyDescent="0.25">
      <c r="A65" s="113" t="s">
        <v>161</v>
      </c>
      <c r="B65" s="113"/>
      <c r="C65" s="266"/>
      <c r="D65" s="113"/>
      <c r="E65" s="114"/>
      <c r="F65" s="235" t="str">
        <f>IF(F62=0,"-",(F63/F62))</f>
        <v>-</v>
      </c>
      <c r="G65" s="235" t="str">
        <f t="shared" ref="G65:H65" si="10">IF(G62=0,"-",(G63/G62))</f>
        <v>-</v>
      </c>
      <c r="H65" s="235" t="str">
        <f t="shared" si="10"/>
        <v>-</v>
      </c>
      <c r="I65" s="4"/>
    </row>
    <row r="66" spans="1:9" x14ac:dyDescent="0.25">
      <c r="B66" s="1"/>
      <c r="C66" s="270"/>
      <c r="D66" s="46"/>
      <c r="E66" s="36"/>
      <c r="F66" s="42"/>
      <c r="G66" s="4"/>
      <c r="H66" s="4"/>
      <c r="I66" s="4"/>
    </row>
    <row r="67" spans="1:9" x14ac:dyDescent="0.25">
      <c r="C67" s="4"/>
      <c r="D67" s="4"/>
      <c r="E67" s="10"/>
      <c r="F67" s="4"/>
      <c r="G67" s="4"/>
      <c r="H67" s="4"/>
      <c r="I67" s="4"/>
    </row>
    <row r="68" spans="1:9" x14ac:dyDescent="0.25">
      <c r="C68" s="4"/>
      <c r="D68" s="4"/>
      <c r="E68" s="10"/>
      <c r="F68" s="4"/>
      <c r="G68" s="4"/>
      <c r="H68" s="4"/>
      <c r="I68" s="4"/>
    </row>
    <row r="69" spans="1:9" x14ac:dyDescent="0.25">
      <c r="C69" s="4"/>
      <c r="D69" s="4"/>
      <c r="E69" s="10"/>
      <c r="F69" s="4"/>
      <c r="G69" s="4"/>
      <c r="H69" s="4"/>
    </row>
    <row r="70" spans="1:9" x14ac:dyDescent="0.25">
      <c r="C70" s="4"/>
      <c r="D70" s="4"/>
      <c r="E70" s="4"/>
      <c r="F70" s="4"/>
      <c r="G70" s="4"/>
      <c r="H70" s="4"/>
    </row>
    <row r="71" spans="1:9" x14ac:dyDescent="0.25">
      <c r="C71" s="4"/>
      <c r="D71" s="4"/>
      <c r="E71" s="46"/>
      <c r="F71" s="4"/>
      <c r="G71" s="4"/>
      <c r="H71" s="4"/>
    </row>
  </sheetData>
  <sheetProtection sheet="1" objects="1" scenarios="1" formatColumns="0" formatRows="0" selectLockedCells="1"/>
  <mergeCells count="3">
    <mergeCell ref="A2:H2"/>
    <mergeCell ref="A3:H3"/>
    <mergeCell ref="A4:H4"/>
  </mergeCells>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21">
      <formula1>Fert_Names</formula1>
    </dataValidation>
  </dataValidations>
  <printOptions horizontalCentered="1"/>
  <pageMargins left="0.25" right="0.25" top="0.75" bottom="0.75" header="0.3" footer="0.3"/>
  <pageSetup scale="79"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61"/>
  <sheetViews>
    <sheetView showGridLines="0" showRowColHeaders="0" workbookViewId="0">
      <pane ySplit="1" topLeftCell="A2" activePane="bottomLeft" state="frozen"/>
      <selection pane="bottomLeft"/>
    </sheetView>
  </sheetViews>
  <sheetFormatPr defaultRowHeight="13.2" x14ac:dyDescent="0.25"/>
  <cols>
    <col min="1" max="1" width="2.44140625" customWidth="1"/>
    <col min="2" max="2" width="23.88671875" bestFit="1" customWidth="1"/>
    <col min="3" max="3" width="3.44140625" customWidth="1"/>
    <col min="4" max="4" width="21.88671875" customWidth="1"/>
    <col min="5" max="5" width="4.88671875" customWidth="1"/>
    <col min="6" max="6" width="12.88671875" customWidth="1"/>
    <col min="10" max="10" width="6.44140625" customWidth="1"/>
    <col min="11" max="11" width="24" customWidth="1"/>
  </cols>
  <sheetData>
    <row r="1" spans="1:19" ht="32.25" customHeight="1" x14ac:dyDescent="0.25">
      <c r="A1" s="77"/>
      <c r="B1" s="77"/>
      <c r="C1" s="77"/>
      <c r="D1" s="77"/>
      <c r="E1" s="77"/>
      <c r="F1" s="77"/>
      <c r="G1" s="77"/>
      <c r="H1" s="77"/>
      <c r="K1" s="285"/>
      <c r="L1" s="77"/>
      <c r="M1" s="77"/>
      <c r="N1" s="77"/>
      <c r="O1" s="77"/>
      <c r="P1" s="77"/>
      <c r="Q1" s="77"/>
      <c r="R1" s="77"/>
      <c r="S1" s="77"/>
    </row>
    <row r="3" spans="1:19" ht="28.5" customHeight="1" x14ac:dyDescent="0.25">
      <c r="B3" s="76" t="s">
        <v>119</v>
      </c>
      <c r="C3" s="76"/>
      <c r="D3" s="317" t="s">
        <v>200</v>
      </c>
      <c r="E3" s="317"/>
      <c r="F3" s="317"/>
      <c r="G3" s="317"/>
      <c r="H3" s="317"/>
      <c r="I3" s="317"/>
      <c r="J3" s="317"/>
    </row>
    <row r="4" spans="1:19" x14ac:dyDescent="0.25">
      <c r="B4" s="284" t="str">
        <f>'Irr Alfalfa'!$A$3</f>
        <v xml:space="preserve">Irrigated Alfalfa </v>
      </c>
      <c r="D4" s="75"/>
    </row>
    <row r="5" spans="1:19" x14ac:dyDescent="0.25">
      <c r="B5" s="284" t="str">
        <f>'Irr Canola'!$A$3</f>
        <v>Irrigated Canola</v>
      </c>
      <c r="D5" s="75"/>
    </row>
    <row r="6" spans="1:19" x14ac:dyDescent="0.25">
      <c r="B6" s="284" t="str">
        <f>'Irr Corn'!$A$3</f>
        <v>Irrigated Corn</v>
      </c>
      <c r="D6" s="75"/>
    </row>
    <row r="7" spans="1:19" x14ac:dyDescent="0.25">
      <c r="B7" s="284" t="str">
        <f>'Irr Corn Silage'!$A$3</f>
        <v>Irrigated Corn Silage</v>
      </c>
    </row>
    <row r="8" spans="1:19" x14ac:dyDescent="0.25">
      <c r="B8" s="284" t="str">
        <f>'Irr Cotton'!$A$3</f>
        <v>Irrigated Cotton</v>
      </c>
    </row>
    <row r="9" spans="1:19" x14ac:dyDescent="0.25">
      <c r="B9" s="284" t="str">
        <f>'Irr Peanuts'!$A$3</f>
        <v>Irrigated Peanuts</v>
      </c>
    </row>
    <row r="10" spans="1:19" x14ac:dyDescent="0.25">
      <c r="B10" s="284" t="str">
        <f>'Irr Sorghum'!$A$3</f>
        <v>Irrigated Sorghum</v>
      </c>
    </row>
    <row r="11" spans="1:19" x14ac:dyDescent="0.25">
      <c r="B11" s="284" t="str">
        <f>'Irr Sorghum Seed'!$A$3</f>
        <v xml:space="preserve">Irrigated Sorghum Seed </v>
      </c>
    </row>
    <row r="12" spans="1:19" x14ac:dyDescent="0.25">
      <c r="B12" s="284" t="str">
        <f>'Irr Sorghum Silage'!$A$3</f>
        <v>Irrigated Sorghum Silage</v>
      </c>
    </row>
    <row r="13" spans="1:19" x14ac:dyDescent="0.25">
      <c r="B13" s="284" t="str">
        <f>'Irr Sorghum Sudangrass'!$A$3</f>
        <v>Irrigated Sorghum Sudangrass</v>
      </c>
    </row>
    <row r="14" spans="1:19" x14ac:dyDescent="0.25">
      <c r="B14" s="284" t="str">
        <f>'Irr Soybeans'!$A$3</f>
        <v>Irrigated Soybeans</v>
      </c>
    </row>
    <row r="15" spans="1:19" x14ac:dyDescent="0.25">
      <c r="B15" s="284" t="str">
        <f>'Irr Sunflowers-Confection'!$A$3</f>
        <v xml:space="preserve">Irrigated Sunflowers-Confectionary </v>
      </c>
    </row>
    <row r="16" spans="1:19" x14ac:dyDescent="0.25">
      <c r="B16" s="284" t="str">
        <f>'Irr Sunflowers-Oilseed'!$A$3</f>
        <v xml:space="preserve">Irrigated Sunflowers-Oilseed </v>
      </c>
    </row>
    <row r="17" spans="2:2" x14ac:dyDescent="0.25">
      <c r="B17" s="284" t="str">
        <f>'Irr Triticale Silage'!$A$3</f>
        <v>Irrigated Triticale Silage</v>
      </c>
    </row>
    <row r="18" spans="2:2" x14ac:dyDescent="0.25">
      <c r="B18" s="284" t="str">
        <f>'Irr Wheat'!$A$3</f>
        <v>Irrigated Wheat</v>
      </c>
    </row>
    <row r="19" spans="2:2" x14ac:dyDescent="0.25">
      <c r="B19" s="284" t="str">
        <f>'Irr Other Crop'!$A$3</f>
        <v>Irrigated Other Crop</v>
      </c>
    </row>
    <row r="21" spans="2:2" x14ac:dyDescent="0.25">
      <c r="B21" s="284" t="str">
        <f>'Dry Canola'!$A$3</f>
        <v>Dryland Canola</v>
      </c>
    </row>
    <row r="22" spans="2:2" x14ac:dyDescent="0.25">
      <c r="B22" s="284" t="str">
        <f>'Dry Cotton'!$A$3</f>
        <v>Dryland Cotton</v>
      </c>
    </row>
    <row r="23" spans="2:2" x14ac:dyDescent="0.25">
      <c r="B23" s="284" t="str">
        <f>'Dry Sorghum'!$A$3</f>
        <v>Dryland Sorghum</v>
      </c>
    </row>
    <row r="24" spans="2:2" x14ac:dyDescent="0.25">
      <c r="B24" s="284" t="str">
        <f>'Dry Sorghum Sudangrass'!$A$3</f>
        <v>Dryland Sorghum Sudangrass</v>
      </c>
    </row>
    <row r="25" spans="2:2" x14ac:dyDescent="0.25">
      <c r="B25" s="284" t="str">
        <f>'Dry Sunflowers-Oilseed'!$A$3</f>
        <v xml:space="preserve">Dryland Sunflowers-Oilseed </v>
      </c>
    </row>
    <row r="26" spans="2:2" x14ac:dyDescent="0.25">
      <c r="B26" s="284" t="str">
        <f>'Dry Wheat'!$A$3</f>
        <v>Dryland Wheat</v>
      </c>
    </row>
    <row r="27" spans="2:2" x14ac:dyDescent="0.25">
      <c r="B27" s="284" t="str">
        <f>'Dry Other Crop'!$A$3</f>
        <v>Dryland Other Crop</v>
      </c>
    </row>
    <row r="40" spans="2:2" x14ac:dyDescent="0.25">
      <c r="B40" s="75"/>
    </row>
    <row r="41" spans="2:2" x14ac:dyDescent="0.25">
      <c r="B41" s="75"/>
    </row>
    <row r="42" spans="2:2" x14ac:dyDescent="0.25">
      <c r="B42" s="75"/>
    </row>
    <row r="43" spans="2:2" x14ac:dyDescent="0.25">
      <c r="B43" s="75"/>
    </row>
    <row r="44" spans="2:2" x14ac:dyDescent="0.25">
      <c r="B44" s="75"/>
    </row>
    <row r="45" spans="2:2" x14ac:dyDescent="0.25">
      <c r="B45" s="75"/>
    </row>
    <row r="46" spans="2:2" x14ac:dyDescent="0.25">
      <c r="B46" s="75"/>
    </row>
    <row r="47" spans="2:2" x14ac:dyDescent="0.25">
      <c r="B47" s="75"/>
    </row>
    <row r="48" spans="2:2" x14ac:dyDescent="0.25">
      <c r="B48" s="75"/>
    </row>
    <row r="49" spans="2:2" x14ac:dyDescent="0.25">
      <c r="B49" s="75"/>
    </row>
    <row r="50" spans="2:2" x14ac:dyDescent="0.25">
      <c r="B50" s="75"/>
    </row>
    <row r="51" spans="2:2" x14ac:dyDescent="0.25">
      <c r="B51" s="75"/>
    </row>
    <row r="52" spans="2:2" x14ac:dyDescent="0.25">
      <c r="B52" s="75"/>
    </row>
    <row r="53" spans="2:2" x14ac:dyDescent="0.25">
      <c r="B53" s="75"/>
    </row>
    <row r="54" spans="2:2" x14ac:dyDescent="0.25">
      <c r="B54" s="75"/>
    </row>
    <row r="55" spans="2:2" x14ac:dyDescent="0.25">
      <c r="B55" s="75"/>
    </row>
    <row r="56" spans="2:2" x14ac:dyDescent="0.25">
      <c r="B56" s="75"/>
    </row>
    <row r="57" spans="2:2" x14ac:dyDescent="0.25">
      <c r="B57" s="75"/>
    </row>
    <row r="58" spans="2:2" x14ac:dyDescent="0.25">
      <c r="B58" s="75"/>
    </row>
    <row r="59" spans="2:2" x14ac:dyDescent="0.25">
      <c r="B59" s="75"/>
    </row>
    <row r="60" spans="2:2" x14ac:dyDescent="0.25">
      <c r="B60" s="75"/>
    </row>
    <row r="61" spans="2:2" x14ac:dyDescent="0.25">
      <c r="B61" s="75"/>
    </row>
  </sheetData>
  <sheetProtection sheet="1" objects="1" scenarios="1"/>
  <mergeCells count="1">
    <mergeCell ref="D3:J3"/>
  </mergeCells>
  <phoneticPr fontId="0" type="noConversion"/>
  <hyperlinks>
    <hyperlink ref="B4" location="'Irr Alfalfa'!A1" display="'Irr Alfalfa'!A1"/>
    <hyperlink ref="B5" location="'Irr Canola'!A1" display="'Irr Canola'!A1"/>
    <hyperlink ref="B6" location="'Irr Corn'!A1" display="'Irr Corn'!A1"/>
    <hyperlink ref="B7" location="'Irr Corn Silage'!A1" display="'Irr Corn Silage'!A1"/>
    <hyperlink ref="B8" location="'Irr Cotton'!A1" display="'Irr Cotton'!A1"/>
    <hyperlink ref="B9" location="'Irr Peanuts'!A1" display="'Irr Peanuts'!A1"/>
    <hyperlink ref="B10" location="'Irr Sorghum'!A1" display="'Irr Sorghum'!A1"/>
    <hyperlink ref="B11" location="'Irr Sorghum Seed'!A1" display="'Irr Sorghum Seed'!A1"/>
    <hyperlink ref="B12" location="'Irr Sorghum Silage'!A1" display="'Irr Sorghum Silage'!A1"/>
    <hyperlink ref="B13" location="'Irr Sorghum Sudangrass'!A1" display="'Irr Sorghum Sudangrass'!A1"/>
    <hyperlink ref="B14" location="'Irr Soybeans'!A1" display="'Irr Soybeans'!A1"/>
    <hyperlink ref="B15" location="'Irr Sunflowers-Confection'!A1" display="'Irr Sunflowers-Confection'!A1"/>
    <hyperlink ref="B16" location="'Irr Sunflowers-Oilseed'!A1" display="'Irr Sunflowers-Oilseed'!A1"/>
    <hyperlink ref="B18" location="'Irr Wheat'!A1" display="'Irr Wheat'!A1"/>
    <hyperlink ref="B19" location="'Irr Other Crop'!A1" display="'Irr Other Crop'!A1"/>
    <hyperlink ref="B21" location="'Dry Canola'!A1" display="'Dry Canola'!A1"/>
    <hyperlink ref="B22" location="'Dry Cotton'!A1" display="'Dry Cotton'!A1"/>
    <hyperlink ref="B23" location="'Dry Sorghum'!A1" display="'Dry Sorghum'!A1"/>
    <hyperlink ref="B24" location="'Dry Sorghum Sudangrass'!A1" display="'Dry Sorghum Sudangrass'!A1"/>
    <hyperlink ref="B25" location="'Dry Sunflowers-Oilseed'!A1" display="'Dry Sunflowers-Oilseed'!A1"/>
    <hyperlink ref="B26" location="'Dry Wheat'!A1" display="'Dry Wheat'!A1"/>
    <hyperlink ref="B27" location="'Dry Other Crop'!A1" display="'Dry Other Crop'!A1"/>
    <hyperlink ref="B17" location="'Irr Triticale Silage'!A1" display="'Irr Triticale Silage'!A1"/>
  </hyperlinks>
  <printOptions horizontalCentered="1"/>
  <pageMargins left="0.25" right="0.25" top="0.75" bottom="0.75" header="0.3" footer="0.3"/>
  <pageSetup orientation="portrait" r:id="rId1"/>
  <headerFooter alignWithMargins="0">
    <oddFooter>&amp;C&amp;8Texas AgriLife Extension Service provides this software for educational use, solely on an “AS IS” basis and  assumes no liability for its use.</oddFooter>
  </headerFooter>
  <drawing r:id="rId2"/>
  <legacyDrawing r:id="rId3"/>
  <controls>
    <mc:AlternateContent xmlns:mc="http://schemas.openxmlformats.org/markup-compatibility/2006">
      <mc:Choice Requires="x14">
        <control shapeId="1052" r:id="rId4" name="ICornSilage">
          <controlPr defaultSize="0" autoLine="0" autoPict="0" r:id="rId5">
            <anchor moveWithCells="1">
              <from>
                <xdr:col>3</xdr:col>
                <xdr:colOff>259080</xdr:colOff>
                <xdr:row>13</xdr:row>
                <xdr:rowOff>0</xdr:rowOff>
              </from>
              <to>
                <xdr:col>5</xdr:col>
                <xdr:colOff>45720</xdr:colOff>
                <xdr:row>14</xdr:row>
                <xdr:rowOff>99060</xdr:rowOff>
              </to>
            </anchor>
          </controlPr>
        </control>
      </mc:Choice>
      <mc:Fallback>
        <control shapeId="1052" r:id="rId4" name="ICornSilage"/>
      </mc:Fallback>
    </mc:AlternateContent>
    <mc:AlternateContent xmlns:mc="http://schemas.openxmlformats.org/markup-compatibility/2006">
      <mc:Choice Requires="x14">
        <control shapeId="1051" r:id="rId6" name="Landlord">
          <controlPr defaultSize="0" autoLine="0" autoPict="0" r:id="rId7">
            <anchor moveWithCells="1">
              <from>
                <xdr:col>6</xdr:col>
                <xdr:colOff>175260</xdr:colOff>
                <xdr:row>31</xdr:row>
                <xdr:rowOff>7620</xdr:rowOff>
              </from>
              <to>
                <xdr:col>8</xdr:col>
                <xdr:colOff>114300</xdr:colOff>
                <xdr:row>32</xdr:row>
                <xdr:rowOff>106680</xdr:rowOff>
              </to>
            </anchor>
          </controlPr>
        </control>
      </mc:Choice>
      <mc:Fallback>
        <control shapeId="1051" r:id="rId6" name="Landlord"/>
      </mc:Fallback>
    </mc:AlternateContent>
    <mc:AlternateContent xmlns:mc="http://schemas.openxmlformats.org/markup-compatibility/2006">
      <mc:Choice Requires="x14">
        <control shapeId="1050" r:id="rId8" name="Tenant">
          <controlPr defaultSize="0" autoLine="0" autoPict="0" r:id="rId9">
            <anchor moveWithCells="1">
              <from>
                <xdr:col>6</xdr:col>
                <xdr:colOff>175260</xdr:colOff>
                <xdr:row>29</xdr:row>
                <xdr:rowOff>7620</xdr:rowOff>
              </from>
              <to>
                <xdr:col>8</xdr:col>
                <xdr:colOff>114300</xdr:colOff>
                <xdr:row>30</xdr:row>
                <xdr:rowOff>106680</xdr:rowOff>
              </to>
            </anchor>
          </controlPr>
        </control>
      </mc:Choice>
      <mc:Fallback>
        <control shapeId="1050" r:id="rId8" name="Tenant"/>
      </mc:Fallback>
    </mc:AlternateContent>
    <mc:AlternateContent xmlns:mc="http://schemas.openxmlformats.org/markup-compatibility/2006">
      <mc:Choice Requires="x14">
        <control shapeId="1049" r:id="rId10" name="TTL">
          <controlPr defaultSize="0" autoLine="0" autoPict="0" r:id="rId11">
            <anchor moveWithCells="1">
              <from>
                <xdr:col>6</xdr:col>
                <xdr:colOff>22860</xdr:colOff>
                <xdr:row>24</xdr:row>
                <xdr:rowOff>137160</xdr:rowOff>
              </from>
              <to>
                <xdr:col>8</xdr:col>
                <xdr:colOff>289560</xdr:colOff>
                <xdr:row>27</xdr:row>
                <xdr:rowOff>152400</xdr:rowOff>
              </to>
            </anchor>
          </controlPr>
        </control>
      </mc:Choice>
      <mc:Fallback>
        <control shapeId="1049" r:id="rId10" name="TTL"/>
      </mc:Fallback>
    </mc:AlternateContent>
    <mc:AlternateContent xmlns:mc="http://schemas.openxmlformats.org/markup-compatibility/2006">
      <mc:Choice Requires="x14">
        <control shapeId="1047" r:id="rId12" name="DOther">
          <controlPr defaultSize="0" autoLine="0" autoPict="0" r:id="rId13">
            <anchor moveWithCells="1">
              <from>
                <xdr:col>6</xdr:col>
                <xdr:colOff>144780</xdr:colOff>
                <xdr:row>19</xdr:row>
                <xdr:rowOff>0</xdr:rowOff>
              </from>
              <to>
                <xdr:col>9</xdr:col>
                <xdr:colOff>76200</xdr:colOff>
                <xdr:row>20</xdr:row>
                <xdr:rowOff>106680</xdr:rowOff>
              </to>
            </anchor>
          </controlPr>
        </control>
      </mc:Choice>
      <mc:Fallback>
        <control shapeId="1047" r:id="rId12" name="DOther"/>
      </mc:Fallback>
    </mc:AlternateContent>
    <mc:AlternateContent xmlns:mc="http://schemas.openxmlformats.org/markup-compatibility/2006">
      <mc:Choice Requires="x14">
        <control shapeId="1046" r:id="rId14" name="DWheat">
          <controlPr defaultSize="0" autoLine="0" autoPict="0" r:id="rId15">
            <anchor moveWithCells="1">
              <from>
                <xdr:col>6</xdr:col>
                <xdr:colOff>144780</xdr:colOff>
                <xdr:row>17</xdr:row>
                <xdr:rowOff>0</xdr:rowOff>
              </from>
              <to>
                <xdr:col>8</xdr:col>
                <xdr:colOff>297180</xdr:colOff>
                <xdr:row>18</xdr:row>
                <xdr:rowOff>99060</xdr:rowOff>
              </to>
            </anchor>
          </controlPr>
        </control>
      </mc:Choice>
      <mc:Fallback>
        <control shapeId="1046" r:id="rId14" name="DWheat"/>
      </mc:Fallback>
    </mc:AlternateContent>
    <mc:AlternateContent xmlns:mc="http://schemas.openxmlformats.org/markup-compatibility/2006">
      <mc:Choice Requires="x14">
        <control shapeId="1045" r:id="rId16" name="DSunOil">
          <controlPr defaultSize="0" autoLine="0" autoPict="0" r:id="rId17">
            <anchor moveWithCells="1">
              <from>
                <xdr:col>6</xdr:col>
                <xdr:colOff>144780</xdr:colOff>
                <xdr:row>14</xdr:row>
                <xdr:rowOff>152400</xdr:rowOff>
              </from>
              <to>
                <xdr:col>10</xdr:col>
                <xdr:colOff>60960</xdr:colOff>
                <xdr:row>16</xdr:row>
                <xdr:rowOff>83820</xdr:rowOff>
              </to>
            </anchor>
          </controlPr>
        </control>
      </mc:Choice>
      <mc:Fallback>
        <control shapeId="1045" r:id="rId16" name="DSunOil"/>
      </mc:Fallback>
    </mc:AlternateContent>
    <mc:AlternateContent xmlns:mc="http://schemas.openxmlformats.org/markup-compatibility/2006">
      <mc:Choice Requires="x14">
        <control shapeId="1044" r:id="rId18" name="DSorgSudan">
          <controlPr defaultSize="0" autoLine="0" autoPict="0" r:id="rId19">
            <anchor moveWithCells="1">
              <from>
                <xdr:col>6</xdr:col>
                <xdr:colOff>144780</xdr:colOff>
                <xdr:row>13</xdr:row>
                <xdr:rowOff>0</xdr:rowOff>
              </from>
              <to>
                <xdr:col>9</xdr:col>
                <xdr:colOff>327660</xdr:colOff>
                <xdr:row>14</xdr:row>
                <xdr:rowOff>106680</xdr:rowOff>
              </to>
            </anchor>
          </controlPr>
        </control>
      </mc:Choice>
      <mc:Fallback>
        <control shapeId="1044" r:id="rId18" name="DSorgSudan"/>
      </mc:Fallback>
    </mc:AlternateContent>
    <mc:AlternateContent xmlns:mc="http://schemas.openxmlformats.org/markup-compatibility/2006">
      <mc:Choice Requires="x14">
        <control shapeId="1043" r:id="rId20" name="DSorghum">
          <controlPr defaultSize="0" autoLine="0" autoPict="0" r:id="rId21">
            <anchor moveWithCells="1">
              <from>
                <xdr:col>6</xdr:col>
                <xdr:colOff>144780</xdr:colOff>
                <xdr:row>11</xdr:row>
                <xdr:rowOff>7620</xdr:rowOff>
              </from>
              <to>
                <xdr:col>8</xdr:col>
                <xdr:colOff>99060</xdr:colOff>
                <xdr:row>12</xdr:row>
                <xdr:rowOff>99060</xdr:rowOff>
              </to>
            </anchor>
          </controlPr>
        </control>
      </mc:Choice>
      <mc:Fallback>
        <control shapeId="1043" r:id="rId20" name="DSorghum"/>
      </mc:Fallback>
    </mc:AlternateContent>
    <mc:AlternateContent xmlns:mc="http://schemas.openxmlformats.org/markup-compatibility/2006">
      <mc:Choice Requires="x14">
        <control shapeId="1042" r:id="rId22" name="DCotton">
          <controlPr defaultSize="0" autoLine="0" autoPict="0" r:id="rId23">
            <anchor moveWithCells="1">
              <from>
                <xdr:col>6</xdr:col>
                <xdr:colOff>144780</xdr:colOff>
                <xdr:row>9</xdr:row>
                <xdr:rowOff>7620</xdr:rowOff>
              </from>
              <to>
                <xdr:col>8</xdr:col>
                <xdr:colOff>99060</xdr:colOff>
                <xdr:row>10</xdr:row>
                <xdr:rowOff>106680</xdr:rowOff>
              </to>
            </anchor>
          </controlPr>
        </control>
      </mc:Choice>
      <mc:Fallback>
        <control shapeId="1042" r:id="rId22" name="DCotton"/>
      </mc:Fallback>
    </mc:AlternateContent>
    <mc:AlternateContent xmlns:mc="http://schemas.openxmlformats.org/markup-compatibility/2006">
      <mc:Choice Requires="x14">
        <control shapeId="1041" r:id="rId24" name="AllDryCrops">
          <controlPr defaultSize="0" autoLine="0" autoPict="0" r:id="rId25">
            <anchor moveWithCells="1">
              <from>
                <xdr:col>6</xdr:col>
                <xdr:colOff>7620</xdr:colOff>
                <xdr:row>3</xdr:row>
                <xdr:rowOff>22860</xdr:rowOff>
              </from>
              <to>
                <xdr:col>8</xdr:col>
                <xdr:colOff>411480</xdr:colOff>
                <xdr:row>6</xdr:row>
                <xdr:rowOff>38100</xdr:rowOff>
              </to>
            </anchor>
          </controlPr>
        </control>
      </mc:Choice>
      <mc:Fallback>
        <control shapeId="1041" r:id="rId24" name="AllDryCrops"/>
      </mc:Fallback>
    </mc:AlternateContent>
    <mc:AlternateContent xmlns:mc="http://schemas.openxmlformats.org/markup-compatibility/2006">
      <mc:Choice Requires="x14">
        <control shapeId="1040" r:id="rId26" name="DCanola">
          <controlPr defaultSize="0" autoLine="0" autoPict="0" r:id="rId27">
            <anchor moveWithCells="1">
              <from>
                <xdr:col>6</xdr:col>
                <xdr:colOff>144780</xdr:colOff>
                <xdr:row>7</xdr:row>
                <xdr:rowOff>22860</xdr:rowOff>
              </from>
              <to>
                <xdr:col>8</xdr:col>
                <xdr:colOff>99060</xdr:colOff>
                <xdr:row>8</xdr:row>
                <xdr:rowOff>121920</xdr:rowOff>
              </to>
            </anchor>
          </controlPr>
        </control>
      </mc:Choice>
      <mc:Fallback>
        <control shapeId="1040" r:id="rId26" name="DCanola"/>
      </mc:Fallback>
    </mc:AlternateContent>
    <mc:AlternateContent xmlns:mc="http://schemas.openxmlformats.org/markup-compatibility/2006">
      <mc:Choice Requires="x14">
        <control shapeId="1039" r:id="rId28" name="IOther">
          <controlPr defaultSize="0" autoLine="0" autoPict="0" r:id="rId29">
            <anchor moveWithCells="1">
              <from>
                <xdr:col>3</xdr:col>
                <xdr:colOff>266700</xdr:colOff>
                <xdr:row>37</xdr:row>
                <xdr:rowOff>0</xdr:rowOff>
              </from>
              <to>
                <xdr:col>5</xdr:col>
                <xdr:colOff>327660</xdr:colOff>
                <xdr:row>38</xdr:row>
                <xdr:rowOff>99060</xdr:rowOff>
              </to>
            </anchor>
          </controlPr>
        </control>
      </mc:Choice>
      <mc:Fallback>
        <control shapeId="1039" r:id="rId28" name="IOther"/>
      </mc:Fallback>
    </mc:AlternateContent>
    <mc:AlternateContent xmlns:mc="http://schemas.openxmlformats.org/markup-compatibility/2006">
      <mc:Choice Requires="x14">
        <control shapeId="1038" r:id="rId30" name="IWheat">
          <controlPr defaultSize="0" autoLine="0" autoPict="0" r:id="rId31">
            <anchor moveWithCells="1">
              <from>
                <xdr:col>3</xdr:col>
                <xdr:colOff>266700</xdr:colOff>
                <xdr:row>34</xdr:row>
                <xdr:rowOff>152400</xdr:rowOff>
              </from>
              <to>
                <xdr:col>3</xdr:col>
                <xdr:colOff>1432560</xdr:colOff>
                <xdr:row>36</xdr:row>
                <xdr:rowOff>83820</xdr:rowOff>
              </to>
            </anchor>
          </controlPr>
        </control>
      </mc:Choice>
      <mc:Fallback>
        <control shapeId="1038" r:id="rId30" name="IWheat"/>
      </mc:Fallback>
    </mc:AlternateContent>
    <mc:AlternateContent xmlns:mc="http://schemas.openxmlformats.org/markup-compatibility/2006">
      <mc:Choice Requires="x14">
        <control shapeId="1037" r:id="rId32" name="ISunOil">
          <controlPr defaultSize="0" autoLine="0" autoPict="0" r:id="rId33">
            <anchor moveWithCells="1">
              <from>
                <xdr:col>3</xdr:col>
                <xdr:colOff>259080</xdr:colOff>
                <xdr:row>31</xdr:row>
                <xdr:rowOff>0</xdr:rowOff>
              </from>
              <to>
                <xdr:col>5</xdr:col>
                <xdr:colOff>525780</xdr:colOff>
                <xdr:row>32</xdr:row>
                <xdr:rowOff>99060</xdr:rowOff>
              </to>
            </anchor>
          </controlPr>
        </control>
      </mc:Choice>
      <mc:Fallback>
        <control shapeId="1037" r:id="rId32" name="ISunOil"/>
      </mc:Fallback>
    </mc:AlternateContent>
    <mc:AlternateContent xmlns:mc="http://schemas.openxmlformats.org/markup-compatibility/2006">
      <mc:Choice Requires="x14">
        <control shapeId="1036" r:id="rId34" name="ISunConf">
          <controlPr defaultSize="0" autoLine="0" autoPict="0" r:id="rId35">
            <anchor moveWithCells="1">
              <from>
                <xdr:col>3</xdr:col>
                <xdr:colOff>259080</xdr:colOff>
                <xdr:row>29</xdr:row>
                <xdr:rowOff>0</xdr:rowOff>
              </from>
              <to>
                <xdr:col>5</xdr:col>
                <xdr:colOff>647700</xdr:colOff>
                <xdr:row>30</xdr:row>
                <xdr:rowOff>99060</xdr:rowOff>
              </to>
            </anchor>
          </controlPr>
        </control>
      </mc:Choice>
      <mc:Fallback>
        <control shapeId="1036" r:id="rId34" name="ISunConf"/>
      </mc:Fallback>
    </mc:AlternateContent>
    <mc:AlternateContent xmlns:mc="http://schemas.openxmlformats.org/markup-compatibility/2006">
      <mc:Choice Requires="x14">
        <control shapeId="1035" r:id="rId36" name="ISoybeans">
          <controlPr defaultSize="0" autoLine="0" autoPict="0" r:id="rId37">
            <anchor moveWithCells="1">
              <from>
                <xdr:col>3</xdr:col>
                <xdr:colOff>259080</xdr:colOff>
                <xdr:row>26</xdr:row>
                <xdr:rowOff>152400</xdr:rowOff>
              </from>
              <to>
                <xdr:col>5</xdr:col>
                <xdr:colOff>198120</xdr:colOff>
                <xdr:row>28</xdr:row>
                <xdr:rowOff>83820</xdr:rowOff>
              </to>
            </anchor>
          </controlPr>
        </control>
      </mc:Choice>
      <mc:Fallback>
        <control shapeId="1035" r:id="rId36" name="ISoybeans"/>
      </mc:Fallback>
    </mc:AlternateContent>
    <mc:AlternateContent xmlns:mc="http://schemas.openxmlformats.org/markup-compatibility/2006">
      <mc:Choice Requires="x14">
        <control shapeId="1034" r:id="rId38" name="ISorgSudan">
          <controlPr defaultSize="0" autoLine="0" autoPict="0" r:id="rId39">
            <anchor moveWithCells="1">
              <from>
                <xdr:col>3</xdr:col>
                <xdr:colOff>259080</xdr:colOff>
                <xdr:row>25</xdr:row>
                <xdr:rowOff>0</xdr:rowOff>
              </from>
              <to>
                <xdr:col>5</xdr:col>
                <xdr:colOff>594360</xdr:colOff>
                <xdr:row>26</xdr:row>
                <xdr:rowOff>99060</xdr:rowOff>
              </to>
            </anchor>
          </controlPr>
        </control>
      </mc:Choice>
      <mc:Fallback>
        <control shapeId="1034" r:id="rId38" name="ISorgSudan"/>
      </mc:Fallback>
    </mc:AlternateContent>
    <mc:AlternateContent xmlns:mc="http://schemas.openxmlformats.org/markup-compatibility/2006">
      <mc:Choice Requires="x14">
        <control shapeId="1033" r:id="rId40" name="ISorgSilage">
          <controlPr defaultSize="0" autoLine="0" autoPict="0" r:id="rId41">
            <anchor moveWithCells="1">
              <from>
                <xdr:col>3</xdr:col>
                <xdr:colOff>266700</xdr:colOff>
                <xdr:row>23</xdr:row>
                <xdr:rowOff>0</xdr:rowOff>
              </from>
              <to>
                <xdr:col>5</xdr:col>
                <xdr:colOff>304800</xdr:colOff>
                <xdr:row>24</xdr:row>
                <xdr:rowOff>106680</xdr:rowOff>
              </to>
            </anchor>
          </controlPr>
        </control>
      </mc:Choice>
      <mc:Fallback>
        <control shapeId="1033" r:id="rId40" name="ISorgSilage"/>
      </mc:Fallback>
    </mc:AlternateContent>
    <mc:AlternateContent xmlns:mc="http://schemas.openxmlformats.org/markup-compatibility/2006">
      <mc:Choice Requires="x14">
        <control shapeId="1032" r:id="rId42" name="ISorgSeed">
          <controlPr defaultSize="0" autoLine="0" autoPict="0" r:id="rId43">
            <anchor moveWithCells="1">
              <from>
                <xdr:col>3</xdr:col>
                <xdr:colOff>266700</xdr:colOff>
                <xdr:row>21</xdr:row>
                <xdr:rowOff>0</xdr:rowOff>
              </from>
              <to>
                <xdr:col>5</xdr:col>
                <xdr:colOff>236220</xdr:colOff>
                <xdr:row>22</xdr:row>
                <xdr:rowOff>106680</xdr:rowOff>
              </to>
            </anchor>
          </controlPr>
        </control>
      </mc:Choice>
      <mc:Fallback>
        <control shapeId="1032" r:id="rId42" name="ISorgSeed"/>
      </mc:Fallback>
    </mc:AlternateContent>
    <mc:AlternateContent xmlns:mc="http://schemas.openxmlformats.org/markup-compatibility/2006">
      <mc:Choice Requires="x14">
        <control shapeId="1031" r:id="rId44" name="ISorghum">
          <controlPr defaultSize="0" autoLine="0" autoPict="0" r:id="rId45">
            <anchor moveWithCells="1">
              <from>
                <xdr:col>3</xdr:col>
                <xdr:colOff>266700</xdr:colOff>
                <xdr:row>19</xdr:row>
                <xdr:rowOff>0</xdr:rowOff>
              </from>
              <to>
                <xdr:col>4</xdr:col>
                <xdr:colOff>175260</xdr:colOff>
                <xdr:row>20</xdr:row>
                <xdr:rowOff>106680</xdr:rowOff>
              </to>
            </anchor>
          </controlPr>
        </control>
      </mc:Choice>
      <mc:Fallback>
        <control shapeId="1031" r:id="rId44" name="ISorghum"/>
      </mc:Fallback>
    </mc:AlternateContent>
    <mc:AlternateContent xmlns:mc="http://schemas.openxmlformats.org/markup-compatibility/2006">
      <mc:Choice Requires="x14">
        <control shapeId="1030" r:id="rId46" name="IPeanuts">
          <controlPr defaultSize="0" autoLine="0" autoPict="0" r:id="rId47">
            <anchor moveWithCells="1">
              <from>
                <xdr:col>3</xdr:col>
                <xdr:colOff>266700</xdr:colOff>
                <xdr:row>17</xdr:row>
                <xdr:rowOff>0</xdr:rowOff>
              </from>
              <to>
                <xdr:col>3</xdr:col>
                <xdr:colOff>1417320</xdr:colOff>
                <xdr:row>18</xdr:row>
                <xdr:rowOff>83820</xdr:rowOff>
              </to>
            </anchor>
          </controlPr>
        </control>
      </mc:Choice>
      <mc:Fallback>
        <control shapeId="1030" r:id="rId46" name="IPeanuts"/>
      </mc:Fallback>
    </mc:AlternateContent>
    <mc:AlternateContent xmlns:mc="http://schemas.openxmlformats.org/markup-compatibility/2006">
      <mc:Choice Requires="x14">
        <control shapeId="1029" r:id="rId48" name="ICotton">
          <controlPr defaultSize="0" autoLine="0" autoPict="0" r:id="rId49">
            <anchor moveWithCells="1">
              <from>
                <xdr:col>3</xdr:col>
                <xdr:colOff>266700</xdr:colOff>
                <xdr:row>15</xdr:row>
                <xdr:rowOff>0</xdr:rowOff>
              </from>
              <to>
                <xdr:col>3</xdr:col>
                <xdr:colOff>1432560</xdr:colOff>
                <xdr:row>16</xdr:row>
                <xdr:rowOff>99060</xdr:rowOff>
              </to>
            </anchor>
          </controlPr>
        </control>
      </mc:Choice>
      <mc:Fallback>
        <control shapeId="1029" r:id="rId48" name="ICotton"/>
      </mc:Fallback>
    </mc:AlternateContent>
    <mc:AlternateContent xmlns:mc="http://schemas.openxmlformats.org/markup-compatibility/2006">
      <mc:Choice Requires="x14">
        <control shapeId="1028" r:id="rId50" name="ICorn">
          <controlPr defaultSize="0" autoLine="0" autoPict="0" r:id="rId51">
            <anchor moveWithCells="1">
              <from>
                <xdr:col>3</xdr:col>
                <xdr:colOff>266700</xdr:colOff>
                <xdr:row>11</xdr:row>
                <xdr:rowOff>0</xdr:rowOff>
              </from>
              <to>
                <xdr:col>3</xdr:col>
                <xdr:colOff>1440180</xdr:colOff>
                <xdr:row>12</xdr:row>
                <xdr:rowOff>99060</xdr:rowOff>
              </to>
            </anchor>
          </controlPr>
        </control>
      </mc:Choice>
      <mc:Fallback>
        <control shapeId="1028" r:id="rId50" name="ICorn"/>
      </mc:Fallback>
    </mc:AlternateContent>
    <mc:AlternateContent xmlns:mc="http://schemas.openxmlformats.org/markup-compatibility/2006">
      <mc:Choice Requires="x14">
        <control shapeId="1027" r:id="rId52" name="ICanola">
          <controlPr defaultSize="0" autoLine="0" autoPict="0" r:id="rId53">
            <anchor moveWithCells="1">
              <from>
                <xdr:col>3</xdr:col>
                <xdr:colOff>266700</xdr:colOff>
                <xdr:row>9</xdr:row>
                <xdr:rowOff>0</xdr:rowOff>
              </from>
              <to>
                <xdr:col>3</xdr:col>
                <xdr:colOff>1417320</xdr:colOff>
                <xdr:row>10</xdr:row>
                <xdr:rowOff>99060</xdr:rowOff>
              </to>
            </anchor>
          </controlPr>
        </control>
      </mc:Choice>
      <mc:Fallback>
        <control shapeId="1027" r:id="rId52" name="ICanola"/>
      </mc:Fallback>
    </mc:AlternateContent>
    <mc:AlternateContent xmlns:mc="http://schemas.openxmlformats.org/markup-compatibility/2006">
      <mc:Choice Requires="x14">
        <control shapeId="1026" r:id="rId54" name="AllIrrCrops">
          <controlPr defaultSize="0" autoLine="0" autoPict="0" r:id="rId55">
            <anchor moveWithCells="1">
              <from>
                <xdr:col>3</xdr:col>
                <xdr:colOff>175260</xdr:colOff>
                <xdr:row>3</xdr:row>
                <xdr:rowOff>22860</xdr:rowOff>
              </from>
              <to>
                <xdr:col>4</xdr:col>
                <xdr:colOff>304800</xdr:colOff>
                <xdr:row>6</xdr:row>
                <xdr:rowOff>38100</xdr:rowOff>
              </to>
            </anchor>
          </controlPr>
        </control>
      </mc:Choice>
      <mc:Fallback>
        <control shapeId="1026" r:id="rId54" name="AllIrrCrops"/>
      </mc:Fallback>
    </mc:AlternateContent>
    <mc:AlternateContent xmlns:mc="http://schemas.openxmlformats.org/markup-compatibility/2006">
      <mc:Choice Requires="x14">
        <control shapeId="1025" r:id="rId56" name="IAlfalfa">
          <controlPr defaultSize="0" autoLine="0" autoPict="0" r:id="rId57">
            <anchor moveWithCells="1">
              <from>
                <xdr:col>3</xdr:col>
                <xdr:colOff>266700</xdr:colOff>
                <xdr:row>7</xdr:row>
                <xdr:rowOff>0</xdr:rowOff>
              </from>
              <to>
                <xdr:col>3</xdr:col>
                <xdr:colOff>1417320</xdr:colOff>
                <xdr:row>8</xdr:row>
                <xdr:rowOff>106680</xdr:rowOff>
              </to>
            </anchor>
          </controlPr>
        </control>
      </mc:Choice>
      <mc:Fallback>
        <control shapeId="1025" r:id="rId56" name="IAlfalfa"/>
      </mc:Fallback>
    </mc:AlternateContent>
    <mc:AlternateContent xmlns:mc="http://schemas.openxmlformats.org/markup-compatibility/2006">
      <mc:Choice Requires="x14">
        <control shapeId="1053" r:id="rId58" name="ITritSilage">
          <controlPr defaultSize="0" autoLine="0" autoPict="0" r:id="rId59">
            <anchor moveWithCells="1">
              <from>
                <xdr:col>3</xdr:col>
                <xdr:colOff>266700</xdr:colOff>
                <xdr:row>33</xdr:row>
                <xdr:rowOff>0</xdr:rowOff>
              </from>
              <to>
                <xdr:col>5</xdr:col>
                <xdr:colOff>304800</xdr:colOff>
                <xdr:row>34</xdr:row>
                <xdr:rowOff>106680</xdr:rowOff>
              </to>
            </anchor>
          </controlPr>
        </control>
      </mc:Choice>
      <mc:Fallback>
        <control shapeId="1053" r:id="rId58" name="ITritSilage"/>
      </mc:Fallback>
    </mc:AlternateContent>
  </control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R74"/>
  <sheetViews>
    <sheetView showGridLines="0" showRowColHeaders="0" zoomScale="90" zoomScaleNormal="90" workbookViewId="0">
      <pane ySplit="7" topLeftCell="A42" activePane="bottomLeft" state="frozen"/>
      <selection activeCell="B9" sqref="B9"/>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121</v>
      </c>
      <c r="B3" s="319"/>
      <c r="C3" s="319"/>
      <c r="D3" s="319"/>
      <c r="E3" s="319"/>
      <c r="F3" s="319"/>
      <c r="G3" s="319"/>
      <c r="H3" s="319"/>
      <c r="I3" s="4"/>
      <c r="J3" s="4"/>
      <c r="K3" s="4"/>
      <c r="L3" s="4"/>
      <c r="M3" s="4"/>
    </row>
    <row r="4" spans="1:18" ht="15" x14ac:dyDescent="0.25">
      <c r="A4" s="319" t="s">
        <v>269</v>
      </c>
      <c r="B4" s="319"/>
      <c r="C4" s="319"/>
      <c r="D4" s="319"/>
      <c r="E4" s="319"/>
      <c r="F4" s="319"/>
      <c r="G4" s="319"/>
      <c r="H4" s="319"/>
      <c r="I4" s="4"/>
      <c r="J4" s="4"/>
      <c r="K4" s="4"/>
      <c r="L4" s="4"/>
      <c r="M4" s="4"/>
    </row>
    <row r="5" spans="1:18" ht="13.8" x14ac:dyDescent="0.25">
      <c r="A5" s="4"/>
      <c r="B5" s="40"/>
      <c r="C5" s="40"/>
      <c r="D5" s="40"/>
      <c r="E5" s="40"/>
      <c r="G5" s="245"/>
      <c r="H5" s="242" t="s">
        <v>102</v>
      </c>
      <c r="I5" s="69" t="s">
        <v>55</v>
      </c>
      <c r="J5" s="4"/>
      <c r="K5" s="4"/>
      <c r="L5" s="4"/>
      <c r="M5" s="4"/>
      <c r="O5" s="1"/>
      <c r="P5" s="1"/>
    </row>
    <row r="6" spans="1:18" ht="13.8" x14ac:dyDescent="0.25">
      <c r="A6" s="4" t="s">
        <v>3</v>
      </c>
      <c r="B6" s="53" t="s">
        <v>4</v>
      </c>
      <c r="C6" s="53" t="s">
        <v>5</v>
      </c>
      <c r="D6" s="53" t="s">
        <v>6</v>
      </c>
      <c r="E6" s="53" t="s">
        <v>53</v>
      </c>
      <c r="F6" s="244" t="s">
        <v>151</v>
      </c>
      <c r="G6" s="244"/>
      <c r="H6" s="112" t="s">
        <v>55</v>
      </c>
      <c r="I6" s="70" t="s">
        <v>103</v>
      </c>
      <c r="J6" s="4"/>
      <c r="K6" s="4"/>
      <c r="L6" s="4"/>
      <c r="M6" s="4"/>
    </row>
    <row r="7" spans="1:18" x14ac:dyDescent="0.25">
      <c r="A7" s="4"/>
      <c r="B7" s="5"/>
      <c r="C7" s="5"/>
      <c r="D7" s="5"/>
      <c r="E7" s="53" t="s">
        <v>55</v>
      </c>
      <c r="F7" s="53" t="s">
        <v>56</v>
      </c>
      <c r="G7" s="53" t="s">
        <v>52</v>
      </c>
      <c r="H7" s="53" t="s">
        <v>53</v>
      </c>
      <c r="J7" s="4"/>
      <c r="K7" s="4"/>
      <c r="L7" s="4"/>
      <c r="M7" s="4"/>
    </row>
    <row r="8" spans="1:18" x14ac:dyDescent="0.25">
      <c r="A8" s="4" t="s">
        <v>7</v>
      </c>
      <c r="B8" s="5"/>
      <c r="C8" s="5"/>
      <c r="D8" s="5"/>
      <c r="E8" s="5"/>
      <c r="F8" s="5"/>
      <c r="G8" s="5"/>
      <c r="H8" s="5"/>
      <c r="J8" s="4"/>
      <c r="K8" s="4"/>
      <c r="L8" s="4"/>
      <c r="M8" s="4"/>
    </row>
    <row r="9" spans="1:18" x14ac:dyDescent="0.25">
      <c r="A9" s="7" t="s">
        <v>89</v>
      </c>
      <c r="B9" s="47">
        <v>11</v>
      </c>
      <c r="C9" s="119" t="s">
        <v>54</v>
      </c>
      <c r="D9" s="55">
        <f>'Universal Input Prices'!$B$5</f>
        <v>13.9</v>
      </c>
      <c r="E9" s="34">
        <v>0.33</v>
      </c>
      <c r="F9" s="39">
        <f>D9*B9</f>
        <v>152.9</v>
      </c>
      <c r="G9" s="39">
        <f>F9*(1-E9)</f>
        <v>102.443</v>
      </c>
      <c r="H9" s="39">
        <f>IF(H6="Cash", D56,F9*E9)</f>
        <v>50.457000000000001</v>
      </c>
      <c r="J9" s="4"/>
      <c r="K9" s="4"/>
      <c r="L9" s="4"/>
      <c r="M9" s="4"/>
    </row>
    <row r="10" spans="1:18" x14ac:dyDescent="0.25">
      <c r="A10" s="7" t="s">
        <v>263</v>
      </c>
      <c r="B10" s="47">
        <v>0</v>
      </c>
      <c r="C10" s="119" t="s">
        <v>264</v>
      </c>
      <c r="D10" s="55">
        <v>1</v>
      </c>
      <c r="E10" s="34">
        <v>0.33</v>
      </c>
      <c r="F10" s="39">
        <f>D10*B10</f>
        <v>0</v>
      </c>
      <c r="G10" s="39">
        <f>F10*(1-E10)</f>
        <v>0</v>
      </c>
      <c r="H10" s="39">
        <f>IF(H7="Cash", D59,F10*E10)</f>
        <v>0</v>
      </c>
      <c r="I10" s="4"/>
    </row>
    <row r="11" spans="1:18" x14ac:dyDescent="0.25">
      <c r="A11" s="9"/>
      <c r="B11" s="21"/>
      <c r="C11" s="264"/>
      <c r="D11" s="8"/>
      <c r="E11" s="36"/>
      <c r="F11" s="39"/>
      <c r="G11" s="39"/>
      <c r="H11" s="39"/>
      <c r="I11" s="4"/>
      <c r="J11" s="4"/>
      <c r="K11" s="4"/>
      <c r="L11" s="4"/>
      <c r="M11" s="4"/>
    </row>
    <row r="12" spans="1:18" x14ac:dyDescent="0.25">
      <c r="A12" s="4" t="s">
        <v>12</v>
      </c>
      <c r="B12" s="5"/>
      <c r="C12" s="119"/>
      <c r="D12" s="8"/>
      <c r="E12" s="36"/>
      <c r="F12" s="39">
        <f>SUM(F8:F11)</f>
        <v>152.9</v>
      </c>
      <c r="G12" s="39">
        <f>SUM(G8:G11)</f>
        <v>102.443</v>
      </c>
      <c r="H12" s="39">
        <f>SUM(H8:H11)</f>
        <v>50.457000000000001</v>
      </c>
      <c r="I12" s="4"/>
      <c r="J12" s="4"/>
      <c r="K12" s="4"/>
      <c r="L12" s="4"/>
      <c r="M12" s="4"/>
    </row>
    <row r="13" spans="1:18" x14ac:dyDescent="0.25">
      <c r="A13" s="4"/>
      <c r="B13" s="5"/>
      <c r="C13" s="119"/>
      <c r="D13" s="8"/>
      <c r="E13" s="36"/>
      <c r="F13" s="39"/>
      <c r="G13" s="39"/>
      <c r="H13" s="39"/>
      <c r="I13" s="4"/>
      <c r="J13" s="4"/>
      <c r="K13" s="4"/>
      <c r="L13" s="4"/>
      <c r="M13" s="4"/>
    </row>
    <row r="14" spans="1:18" x14ac:dyDescent="0.25">
      <c r="A14" s="4" t="s">
        <v>207</v>
      </c>
      <c r="B14" s="5"/>
      <c r="C14" s="119"/>
      <c r="D14" s="8"/>
      <c r="E14" s="36"/>
      <c r="F14" s="39"/>
      <c r="G14" s="39"/>
      <c r="H14" s="39"/>
      <c r="I14" s="4"/>
      <c r="J14" s="4"/>
      <c r="K14" s="4"/>
      <c r="L14" s="4"/>
      <c r="M14" s="4"/>
    </row>
    <row r="15" spans="1:18" x14ac:dyDescent="0.25">
      <c r="A15" s="4" t="s">
        <v>1</v>
      </c>
      <c r="B15" s="66"/>
      <c r="C15" s="119"/>
      <c r="D15" s="67"/>
      <c r="E15" s="36"/>
      <c r="F15" s="39"/>
      <c r="G15" s="39"/>
      <c r="H15" s="39"/>
      <c r="I15" s="4"/>
      <c r="J15" s="4"/>
      <c r="K15" s="4"/>
      <c r="L15" s="4"/>
      <c r="M15" s="4"/>
    </row>
    <row r="16" spans="1:18" x14ac:dyDescent="0.25">
      <c r="A16" s="7" t="s">
        <v>124</v>
      </c>
      <c r="B16" s="28">
        <v>5</v>
      </c>
      <c r="C16" s="119" t="s">
        <v>79</v>
      </c>
      <c r="D16" s="14">
        <v>6.6</v>
      </c>
      <c r="E16" s="34">
        <v>0</v>
      </c>
      <c r="F16" s="39">
        <f>D16*B16</f>
        <v>33</v>
      </c>
      <c r="G16" s="39">
        <f>F16*(1-E16)</f>
        <v>33</v>
      </c>
      <c r="H16" s="39">
        <f>F16*E16</f>
        <v>0</v>
      </c>
      <c r="I16" s="4"/>
      <c r="J16" s="4"/>
      <c r="K16" s="4"/>
      <c r="L16" s="4"/>
      <c r="M16" s="4"/>
    </row>
    <row r="17" spans="1:14" x14ac:dyDescent="0.25">
      <c r="A17" s="7" t="s">
        <v>92</v>
      </c>
      <c r="B17" s="28">
        <v>1</v>
      </c>
      <c r="C17" s="119" t="s">
        <v>14</v>
      </c>
      <c r="D17" s="14">
        <v>6.7</v>
      </c>
      <c r="E17" s="34">
        <v>0</v>
      </c>
      <c r="F17" s="39">
        <f>D17*B17</f>
        <v>6.7</v>
      </c>
      <c r="G17" s="39">
        <f>F17*(1-E17)</f>
        <v>6.7</v>
      </c>
      <c r="H17" s="39">
        <f>F17*E17</f>
        <v>0</v>
      </c>
      <c r="I17" s="4"/>
      <c r="J17" s="8"/>
      <c r="K17" s="21"/>
      <c r="L17" s="8"/>
      <c r="M17" s="4"/>
    </row>
    <row r="18" spans="1:14" x14ac:dyDescent="0.25">
      <c r="A18" s="4" t="s">
        <v>0</v>
      </c>
      <c r="B18" s="26"/>
      <c r="C18" s="119"/>
      <c r="D18" s="15"/>
      <c r="E18" s="36"/>
      <c r="F18" s="39"/>
      <c r="G18" s="39"/>
      <c r="H18" s="39"/>
      <c r="I18" s="4"/>
      <c r="J18" s="4"/>
      <c r="K18" s="4"/>
      <c r="L18" s="4"/>
      <c r="M18" s="4"/>
    </row>
    <row r="19" spans="1:14" x14ac:dyDescent="0.25">
      <c r="A19" s="302" t="s">
        <v>134</v>
      </c>
      <c r="B19" s="24">
        <v>35</v>
      </c>
      <c r="C19" s="119" t="s">
        <v>79</v>
      </c>
      <c r="D19" s="54">
        <f>IF(A19="",0,VLOOKUP(A19,'Universal Input Prices'!$A$26:$B$26, 2))</f>
        <v>0.33043478260869563</v>
      </c>
      <c r="E19" s="34">
        <v>0.33</v>
      </c>
      <c r="F19" s="39">
        <f>D19*B19</f>
        <v>11.565217391304348</v>
      </c>
      <c r="G19" s="39">
        <f>F19*(1-E19)</f>
        <v>7.7486956521739119</v>
      </c>
      <c r="H19" s="39">
        <f>F19*E19</f>
        <v>3.8165217391304349</v>
      </c>
      <c r="I19" s="4"/>
      <c r="J19" s="4"/>
    </row>
    <row r="20" spans="1:14" x14ac:dyDescent="0.25">
      <c r="A20" s="302"/>
      <c r="B20" s="24">
        <v>0</v>
      </c>
      <c r="C20" s="119" t="s">
        <v>79</v>
      </c>
      <c r="D20" s="54">
        <f>IF(A20="",0,VLOOKUP(A20,'Universal Input Prices'!$A$26:$B$30, 2))</f>
        <v>0</v>
      </c>
      <c r="E20" s="34">
        <v>0</v>
      </c>
      <c r="F20" s="39">
        <f>D20*B20</f>
        <v>0</v>
      </c>
      <c r="G20" s="39">
        <f>F20*(1-E20)</f>
        <v>0</v>
      </c>
      <c r="H20" s="39">
        <f>F20*E20</f>
        <v>0</v>
      </c>
      <c r="I20" s="4"/>
    </row>
    <row r="21" spans="1:14" x14ac:dyDescent="0.25">
      <c r="A21" s="302"/>
      <c r="B21" s="24">
        <v>0</v>
      </c>
      <c r="C21" s="119" t="s">
        <v>79</v>
      </c>
      <c r="D21" s="54">
        <f>IF(A21="",0,VLOOKUP(A21,'Universal Input Prices'!$A$26:$B$30, 2))</f>
        <v>0</v>
      </c>
      <c r="E21" s="34">
        <v>0</v>
      </c>
      <c r="F21" s="39">
        <f>D21*B21</f>
        <v>0</v>
      </c>
      <c r="G21" s="39">
        <f>F21*(1-E21)</f>
        <v>0</v>
      </c>
      <c r="H21" s="39">
        <f>F21*E21</f>
        <v>0</v>
      </c>
      <c r="I21" s="4"/>
    </row>
    <row r="22" spans="1:14" x14ac:dyDescent="0.25">
      <c r="A22" s="4" t="s">
        <v>15</v>
      </c>
      <c r="B22" s="27"/>
      <c r="C22" s="119"/>
      <c r="D22" s="8"/>
      <c r="E22" s="36"/>
      <c r="F22" s="39"/>
      <c r="G22" s="39"/>
      <c r="H22" s="39"/>
      <c r="I22" s="4"/>
      <c r="J22" s="4"/>
      <c r="L22" s="52"/>
    </row>
    <row r="23" spans="1:14" x14ac:dyDescent="0.25">
      <c r="A23" s="2" t="s">
        <v>236</v>
      </c>
      <c r="B23" s="24">
        <v>1</v>
      </c>
      <c r="C23" s="119" t="s">
        <v>14</v>
      </c>
      <c r="D23" s="14">
        <v>14.3</v>
      </c>
      <c r="E23" s="34">
        <v>0.33</v>
      </c>
      <c r="F23" s="39">
        <f t="shared" ref="F23:F36" si="0">D23*B23</f>
        <v>14.3</v>
      </c>
      <c r="G23" s="39">
        <f t="shared" ref="G23:G36" si="1">F23*(1-E23)</f>
        <v>9.5809999999999995</v>
      </c>
      <c r="H23" s="39">
        <f t="shared" ref="H23:H36" si="2">F23*E23</f>
        <v>4.7190000000000003</v>
      </c>
      <c r="I23" s="4"/>
      <c r="J23" s="4"/>
      <c r="L23" s="52"/>
    </row>
    <row r="24" spans="1:14" x14ac:dyDescent="0.25">
      <c r="A24" s="7" t="s">
        <v>43</v>
      </c>
      <c r="B24" s="24">
        <v>1</v>
      </c>
      <c r="C24" s="119" t="s">
        <v>14</v>
      </c>
      <c r="D24" s="14">
        <v>5</v>
      </c>
      <c r="E24" s="34">
        <v>0.33</v>
      </c>
      <c r="F24" s="39">
        <f t="shared" si="0"/>
        <v>5</v>
      </c>
      <c r="G24" s="39">
        <f t="shared" si="1"/>
        <v>3.3499999999999996</v>
      </c>
      <c r="H24" s="39">
        <f t="shared" si="2"/>
        <v>1.6500000000000001</v>
      </c>
      <c r="I24" s="4"/>
      <c r="J24" s="4"/>
      <c r="K24" s="90"/>
      <c r="L24" s="91"/>
      <c r="M24" s="90"/>
      <c r="N24" s="90"/>
    </row>
    <row r="25" spans="1:14" x14ac:dyDescent="0.25">
      <c r="A25" s="2" t="s">
        <v>237</v>
      </c>
      <c r="B25" s="24">
        <v>1</v>
      </c>
      <c r="C25" s="119" t="s">
        <v>14</v>
      </c>
      <c r="D25" s="14">
        <v>9.5500000000000007</v>
      </c>
      <c r="E25" s="34">
        <v>0.33</v>
      </c>
      <c r="F25" s="39">
        <f t="shared" si="0"/>
        <v>9.5500000000000007</v>
      </c>
      <c r="G25" s="39">
        <f t="shared" si="1"/>
        <v>6.3984999999999994</v>
      </c>
      <c r="H25" s="39">
        <f t="shared" si="2"/>
        <v>3.1515000000000004</v>
      </c>
      <c r="I25" s="4"/>
      <c r="J25" s="4"/>
      <c r="L25" s="92"/>
      <c r="M25" s="4"/>
    </row>
    <row r="26" spans="1:14" x14ac:dyDescent="0.25">
      <c r="A26" s="2" t="s">
        <v>47</v>
      </c>
      <c r="B26" s="27">
        <v>1</v>
      </c>
      <c r="C26" s="119" t="s">
        <v>14</v>
      </c>
      <c r="D26" s="14">
        <v>25</v>
      </c>
      <c r="E26" s="34">
        <v>0</v>
      </c>
      <c r="F26" s="39">
        <f t="shared" si="0"/>
        <v>25</v>
      </c>
      <c r="G26" s="39">
        <f t="shared" si="1"/>
        <v>25</v>
      </c>
      <c r="H26" s="39">
        <f t="shared" si="2"/>
        <v>0</v>
      </c>
      <c r="I26" s="4"/>
      <c r="J26" s="4"/>
    </row>
    <row r="27" spans="1:14" x14ac:dyDescent="0.25">
      <c r="A27" s="2" t="s">
        <v>47</v>
      </c>
      <c r="B27" s="5">
        <f>B9</f>
        <v>11</v>
      </c>
      <c r="C27" s="119" t="s">
        <v>54</v>
      </c>
      <c r="D27" s="14">
        <v>0.45</v>
      </c>
      <c r="E27" s="34">
        <v>0</v>
      </c>
      <c r="F27" s="39">
        <f t="shared" si="0"/>
        <v>4.95</v>
      </c>
      <c r="G27" s="39">
        <f t="shared" si="1"/>
        <v>4.95</v>
      </c>
      <c r="H27" s="39">
        <f t="shared" si="2"/>
        <v>0</v>
      </c>
      <c r="I27" s="4"/>
      <c r="J27" s="4"/>
      <c r="K27" s="4"/>
      <c r="L27" s="4"/>
      <c r="M27" s="4"/>
    </row>
    <row r="28" spans="1:14" x14ac:dyDescent="0.25">
      <c r="A28" s="7" t="s">
        <v>20</v>
      </c>
      <c r="B28" s="24">
        <v>0</v>
      </c>
      <c r="C28" s="119" t="s">
        <v>14</v>
      </c>
      <c r="D28" s="14">
        <v>0</v>
      </c>
      <c r="E28" s="34">
        <v>0</v>
      </c>
      <c r="F28" s="39">
        <f t="shared" si="0"/>
        <v>0</v>
      </c>
      <c r="G28" s="39">
        <f t="shared" si="1"/>
        <v>0</v>
      </c>
      <c r="H28" s="39">
        <f t="shared" si="2"/>
        <v>0</v>
      </c>
      <c r="I28" s="4"/>
      <c r="J28" s="4"/>
      <c r="K28" s="4"/>
      <c r="L28" s="4"/>
      <c r="M28" s="4"/>
    </row>
    <row r="29" spans="1:14" x14ac:dyDescent="0.25">
      <c r="A29" s="2" t="s">
        <v>21</v>
      </c>
      <c r="B29" s="24">
        <v>1</v>
      </c>
      <c r="C29" s="119" t="s">
        <v>14</v>
      </c>
      <c r="D29" s="14">
        <v>0</v>
      </c>
      <c r="E29" s="34">
        <v>0</v>
      </c>
      <c r="F29" s="39">
        <f t="shared" si="0"/>
        <v>0</v>
      </c>
      <c r="G29" s="39">
        <f t="shared" si="1"/>
        <v>0</v>
      </c>
      <c r="H29" s="39">
        <f t="shared" si="2"/>
        <v>0</v>
      </c>
      <c r="I29" s="4"/>
      <c r="J29" s="4"/>
      <c r="K29" s="4"/>
      <c r="L29" s="4"/>
      <c r="M29" s="4"/>
    </row>
    <row r="30" spans="1:14" x14ac:dyDescent="0.25">
      <c r="A30" s="16" t="s">
        <v>40</v>
      </c>
      <c r="B30" s="24">
        <v>1</v>
      </c>
      <c r="C30" s="265" t="s">
        <v>14</v>
      </c>
      <c r="D30" s="14">
        <v>0</v>
      </c>
      <c r="E30" s="34">
        <v>0</v>
      </c>
      <c r="F30" s="39">
        <f t="shared" si="0"/>
        <v>0</v>
      </c>
      <c r="G30" s="39">
        <f t="shared" si="1"/>
        <v>0</v>
      </c>
      <c r="H30" s="39">
        <f t="shared" si="2"/>
        <v>0</v>
      </c>
      <c r="I30" s="4"/>
      <c r="J30" s="4"/>
      <c r="K30" s="4"/>
      <c r="L30" s="4"/>
      <c r="M30" s="4"/>
    </row>
    <row r="31" spans="1:14" x14ac:dyDescent="0.25">
      <c r="A31" s="16" t="s">
        <v>40</v>
      </c>
      <c r="B31" s="24">
        <v>1</v>
      </c>
      <c r="C31" s="265" t="s">
        <v>14</v>
      </c>
      <c r="D31" s="14">
        <v>0</v>
      </c>
      <c r="E31" s="34">
        <v>0</v>
      </c>
      <c r="F31" s="39">
        <f t="shared" si="0"/>
        <v>0</v>
      </c>
      <c r="G31" s="39">
        <f t="shared" si="1"/>
        <v>0</v>
      </c>
      <c r="H31" s="39">
        <f t="shared" si="2"/>
        <v>0</v>
      </c>
      <c r="I31" s="4"/>
      <c r="J31" s="4"/>
      <c r="K31" s="4"/>
      <c r="L31" s="4"/>
      <c r="M31" s="4"/>
    </row>
    <row r="32" spans="1:14" x14ac:dyDescent="0.25">
      <c r="A32" s="16" t="s">
        <v>40</v>
      </c>
      <c r="B32" s="24">
        <v>1</v>
      </c>
      <c r="C32" s="265" t="s">
        <v>14</v>
      </c>
      <c r="D32" s="14">
        <v>0</v>
      </c>
      <c r="E32" s="34">
        <v>0</v>
      </c>
      <c r="F32" s="39">
        <f t="shared" si="0"/>
        <v>0</v>
      </c>
      <c r="G32" s="39">
        <f t="shared" si="1"/>
        <v>0</v>
      </c>
      <c r="H32" s="39">
        <f t="shared" si="2"/>
        <v>0</v>
      </c>
      <c r="I32" s="4"/>
      <c r="J32" s="4"/>
      <c r="K32" s="4"/>
      <c r="L32" s="4"/>
      <c r="M32" s="4"/>
    </row>
    <row r="33" spans="1:13" x14ac:dyDescent="0.25">
      <c r="A33" s="4" t="s">
        <v>22</v>
      </c>
      <c r="B33" s="24">
        <v>1</v>
      </c>
      <c r="C33" s="119" t="s">
        <v>14</v>
      </c>
      <c r="D33" s="14">
        <v>0</v>
      </c>
      <c r="E33" s="34">
        <v>0</v>
      </c>
      <c r="F33" s="39">
        <f t="shared" si="0"/>
        <v>0</v>
      </c>
      <c r="G33" s="39">
        <f t="shared" si="1"/>
        <v>0</v>
      </c>
      <c r="H33" s="39">
        <f t="shared" si="2"/>
        <v>0</v>
      </c>
      <c r="I33" s="4"/>
      <c r="J33" s="4"/>
      <c r="K33" s="4"/>
      <c r="L33" s="4"/>
      <c r="M33" s="4"/>
    </row>
    <row r="34" spans="1:13" x14ac:dyDescent="0.25">
      <c r="A34" s="4" t="s">
        <v>140</v>
      </c>
      <c r="B34" s="28">
        <v>0.85499999999999998</v>
      </c>
      <c r="C34" s="119" t="s">
        <v>23</v>
      </c>
      <c r="D34" s="55">
        <f>'Universal Input Prices'!$B$31</f>
        <v>12.45</v>
      </c>
      <c r="E34" s="34">
        <v>0</v>
      </c>
      <c r="F34" s="39">
        <f t="shared" si="0"/>
        <v>10.644749999999998</v>
      </c>
      <c r="G34" s="39">
        <f t="shared" si="1"/>
        <v>10.644749999999998</v>
      </c>
      <c r="H34" s="39">
        <f t="shared" si="2"/>
        <v>0</v>
      </c>
      <c r="I34" s="4"/>
      <c r="J34" s="4"/>
      <c r="K34" s="4"/>
      <c r="L34" s="4"/>
      <c r="M34" s="4"/>
    </row>
    <row r="35" spans="1:13" x14ac:dyDescent="0.25">
      <c r="A35" s="4" t="s">
        <v>25</v>
      </c>
      <c r="B35" s="28">
        <v>2.2200000000000002</v>
      </c>
      <c r="C35" s="119" t="s">
        <v>26</v>
      </c>
      <c r="D35" s="55">
        <f>'Universal Input Prices'!$B$32</f>
        <v>1.81</v>
      </c>
      <c r="E35" s="34">
        <v>0</v>
      </c>
      <c r="F35" s="39">
        <f t="shared" si="0"/>
        <v>4.0182000000000002</v>
      </c>
      <c r="G35" s="39">
        <f t="shared" si="1"/>
        <v>4.0182000000000002</v>
      </c>
      <c r="H35" s="39">
        <f t="shared" si="2"/>
        <v>0</v>
      </c>
      <c r="I35" s="4"/>
      <c r="J35" s="4"/>
      <c r="K35" s="4"/>
      <c r="L35" s="4"/>
      <c r="M35" s="4"/>
    </row>
    <row r="36" spans="1:13" x14ac:dyDescent="0.25">
      <c r="A36" s="4" t="s">
        <v>27</v>
      </c>
      <c r="B36" s="28">
        <v>2.0307689999999998</v>
      </c>
      <c r="C36" s="119" t="s">
        <v>26</v>
      </c>
      <c r="D36" s="55">
        <f>'Universal Input Prices'!$B$33</f>
        <v>1.9259999999999999</v>
      </c>
      <c r="E36" s="34">
        <v>0</v>
      </c>
      <c r="F36" s="39">
        <f t="shared" si="0"/>
        <v>3.9112610939999994</v>
      </c>
      <c r="G36" s="39">
        <f t="shared" si="1"/>
        <v>3.9112610939999994</v>
      </c>
      <c r="H36" s="39">
        <f t="shared" si="2"/>
        <v>0</v>
      </c>
      <c r="I36" s="4"/>
      <c r="J36" s="4"/>
      <c r="K36" s="4"/>
      <c r="L36" s="4"/>
      <c r="M36" s="4"/>
    </row>
    <row r="37" spans="1:13" x14ac:dyDescent="0.25">
      <c r="A37" s="4" t="s">
        <v>30</v>
      </c>
      <c r="B37" s="5"/>
      <c r="C37" s="119"/>
      <c r="D37" s="15"/>
      <c r="E37" s="36"/>
      <c r="F37" s="39"/>
      <c r="G37" s="39"/>
      <c r="H37" s="39"/>
      <c r="I37" s="4"/>
      <c r="J37" s="4"/>
      <c r="K37" s="4"/>
      <c r="L37" s="4"/>
      <c r="M37" s="4"/>
    </row>
    <row r="38" spans="1:13" x14ac:dyDescent="0.25">
      <c r="A38" s="7" t="s">
        <v>31</v>
      </c>
      <c r="B38" s="5">
        <v>1</v>
      </c>
      <c r="C38" s="119" t="s">
        <v>14</v>
      </c>
      <c r="D38" s="14">
        <v>10.59</v>
      </c>
      <c r="E38" s="34">
        <v>0</v>
      </c>
      <c r="F38" s="39">
        <f>D38*B38</f>
        <v>10.59</v>
      </c>
      <c r="G38" s="39">
        <f>F38*(1-E38)</f>
        <v>10.59</v>
      </c>
      <c r="H38" s="39">
        <f>F38*E38</f>
        <v>0</v>
      </c>
      <c r="I38" s="4"/>
      <c r="J38" s="4"/>
      <c r="K38" s="4"/>
      <c r="L38" s="4"/>
      <c r="M38" s="4"/>
    </row>
    <row r="39" spans="1:13" x14ac:dyDescent="0.25">
      <c r="A39" s="7" t="s">
        <v>2</v>
      </c>
      <c r="B39" s="5">
        <v>1</v>
      </c>
      <c r="C39" s="119" t="s">
        <v>14</v>
      </c>
      <c r="D39" s="14">
        <v>4.18</v>
      </c>
      <c r="E39" s="34">
        <v>0</v>
      </c>
      <c r="F39" s="39">
        <f>D39*B39</f>
        <v>4.18</v>
      </c>
      <c r="G39" s="39">
        <f>F39*(1-E39)</f>
        <v>4.18</v>
      </c>
      <c r="H39" s="39">
        <f>F39*E39</f>
        <v>0</v>
      </c>
      <c r="I39" s="4"/>
      <c r="J39" s="4"/>
      <c r="K39" s="4"/>
      <c r="L39" s="4"/>
      <c r="M39" s="4"/>
    </row>
    <row r="40" spans="1:13" x14ac:dyDescent="0.25">
      <c r="A40" s="7" t="s">
        <v>203</v>
      </c>
      <c r="B40" s="5">
        <v>1</v>
      </c>
      <c r="C40" s="119" t="s">
        <v>14</v>
      </c>
      <c r="D40" s="14">
        <v>0</v>
      </c>
      <c r="E40" s="34">
        <v>0</v>
      </c>
      <c r="F40" s="39">
        <v>0</v>
      </c>
      <c r="G40" s="39">
        <f>F40*(1-E40)</f>
        <v>0</v>
      </c>
      <c r="H40" s="39">
        <f>F40*E40</f>
        <v>0</v>
      </c>
      <c r="I40" s="4"/>
      <c r="J40" s="4"/>
      <c r="K40" s="4"/>
      <c r="L40" s="4"/>
      <c r="M40" s="4"/>
    </row>
    <row r="41" spans="1:13" x14ac:dyDescent="0.25">
      <c r="A41" s="7" t="s">
        <v>204</v>
      </c>
      <c r="B41" s="5">
        <v>1</v>
      </c>
      <c r="C41" s="119" t="s">
        <v>14</v>
      </c>
      <c r="D41" s="14">
        <v>0</v>
      </c>
      <c r="E41" s="34">
        <v>1</v>
      </c>
      <c r="F41" s="39">
        <f>D41*B41</f>
        <v>0</v>
      </c>
      <c r="G41" s="39">
        <f>F41*(1-E41)</f>
        <v>0</v>
      </c>
      <c r="H41" s="39">
        <f>F41*E41</f>
        <v>0</v>
      </c>
      <c r="I41" s="4"/>
      <c r="J41" s="4"/>
      <c r="K41" s="4"/>
      <c r="L41" s="4"/>
      <c r="M41" s="4"/>
    </row>
    <row r="42" spans="1:13" x14ac:dyDescent="0.25">
      <c r="A42" s="7" t="s">
        <v>33</v>
      </c>
      <c r="B42" s="5">
        <v>1</v>
      </c>
      <c r="C42" s="119" t="s">
        <v>14</v>
      </c>
      <c r="D42" s="14">
        <v>2.4900000000000002</v>
      </c>
      <c r="E42" s="34">
        <v>0</v>
      </c>
      <c r="F42" s="39">
        <f>D42*B42</f>
        <v>2.4900000000000002</v>
      </c>
      <c r="G42" s="39">
        <f>F42*(1-E42)</f>
        <v>2.4900000000000002</v>
      </c>
      <c r="H42" s="39">
        <f>F42*E42</f>
        <v>0</v>
      </c>
      <c r="I42" s="4"/>
      <c r="J42" s="4"/>
      <c r="K42" s="4"/>
      <c r="L42" s="4"/>
      <c r="M42" s="4"/>
    </row>
    <row r="43" spans="1:13" x14ac:dyDescent="0.25">
      <c r="A43" s="4" t="s">
        <v>34</v>
      </c>
      <c r="B43" s="89">
        <f>'Universal Input Prices'!$B$35</f>
        <v>5.3999999999999999E-2</v>
      </c>
      <c r="C43" s="119"/>
      <c r="D43" s="22"/>
      <c r="E43" s="36"/>
      <c r="F43" s="158">
        <f>(SUM(F16:F25,F28:F42))*$B43/1.8</f>
        <v>3.4784828545591306</v>
      </c>
      <c r="G43" s="158">
        <f>(SUM(G16:G25,G28:G42))*$B43/2</f>
        <v>2.770534982146696</v>
      </c>
      <c r="H43" s="158">
        <f>(SUM(H16:H25,H28:H42))*$B43/2</f>
        <v>0.36009958695652172</v>
      </c>
      <c r="I43" s="4"/>
      <c r="J43" s="4"/>
      <c r="K43" s="4"/>
      <c r="L43" s="4"/>
      <c r="M43" s="4"/>
    </row>
    <row r="44" spans="1:13" x14ac:dyDescent="0.25">
      <c r="A44" s="4"/>
      <c r="B44" s="10"/>
      <c r="C44" s="119"/>
      <c r="D44" s="8"/>
      <c r="E44" s="35"/>
      <c r="F44" s="39"/>
      <c r="G44" s="39"/>
      <c r="H44" s="39"/>
      <c r="I44" s="4"/>
      <c r="J44" s="4"/>
      <c r="K44" s="4"/>
      <c r="L44" s="4"/>
      <c r="M44" s="4"/>
    </row>
    <row r="45" spans="1:13" x14ac:dyDescent="0.25">
      <c r="A45" s="4" t="s">
        <v>205</v>
      </c>
      <c r="B45" s="10"/>
      <c r="C45" s="119"/>
      <c r="D45" s="8"/>
      <c r="E45" s="38"/>
      <c r="F45" s="39">
        <f>SUM(F15:F43)</f>
        <v>149.37791133986349</v>
      </c>
      <c r="G45" s="39">
        <f>SUM(G15:G43)</f>
        <v>135.33294172832063</v>
      </c>
      <c r="H45" s="39">
        <f>SUM(H15:H43)</f>
        <v>13.697121326086958</v>
      </c>
      <c r="I45" s="4"/>
      <c r="J45" s="4"/>
      <c r="K45" s="4"/>
      <c r="L45" s="4"/>
      <c r="M45" s="4"/>
    </row>
    <row r="46" spans="1:13" ht="13.8" x14ac:dyDescent="0.25">
      <c r="A46" s="12" t="s">
        <v>206</v>
      </c>
      <c r="B46" s="10"/>
      <c r="C46" s="119"/>
      <c r="D46" s="8"/>
      <c r="E46" s="35"/>
      <c r="F46" s="72">
        <f>F12-F45</f>
        <v>3.522088660136518</v>
      </c>
      <c r="G46" s="72">
        <f>G12-G45</f>
        <v>-32.889941728320636</v>
      </c>
      <c r="H46" s="72">
        <f>H12-H45</f>
        <v>36.759878673913043</v>
      </c>
      <c r="I46" s="4"/>
      <c r="J46" s="4"/>
      <c r="K46" s="4"/>
      <c r="L46" s="4"/>
      <c r="M46" s="4"/>
    </row>
    <row r="47" spans="1:13" x14ac:dyDescent="0.25">
      <c r="A47" s="4"/>
      <c r="B47" s="10"/>
      <c r="C47" s="119"/>
      <c r="D47" s="8"/>
      <c r="E47" s="35"/>
      <c r="F47" s="39"/>
      <c r="G47" s="39"/>
      <c r="H47" s="39"/>
      <c r="I47" s="4"/>
      <c r="J47" s="4"/>
      <c r="K47" s="4"/>
      <c r="L47" s="4"/>
      <c r="M47" s="4"/>
    </row>
    <row r="48" spans="1:13" x14ac:dyDescent="0.25">
      <c r="A48" s="4" t="s">
        <v>208</v>
      </c>
      <c r="B48" s="10"/>
      <c r="C48" s="119"/>
      <c r="D48" s="8"/>
      <c r="E48" s="45"/>
      <c r="F48" s="39"/>
      <c r="G48" s="39"/>
      <c r="H48" s="39"/>
      <c r="I48" s="4"/>
      <c r="J48" s="4"/>
      <c r="K48" s="4"/>
      <c r="L48" s="4"/>
      <c r="M48" s="4"/>
    </row>
    <row r="49" spans="1:13" x14ac:dyDescent="0.25">
      <c r="A49" s="7" t="s">
        <v>31</v>
      </c>
      <c r="B49" s="5">
        <v>1</v>
      </c>
      <c r="C49" s="119" t="s">
        <v>14</v>
      </c>
      <c r="D49" s="14">
        <v>17.07</v>
      </c>
      <c r="E49" s="34">
        <v>0</v>
      </c>
      <c r="F49" s="39">
        <f t="shared" ref="F49:F54" si="3">D49*B49</f>
        <v>17.07</v>
      </c>
      <c r="G49" s="39">
        <f t="shared" ref="G49:G57" si="4">F49*(1-E49)</f>
        <v>17.07</v>
      </c>
      <c r="H49" s="39">
        <f t="shared" ref="H49:H57" si="5">F49*E49</f>
        <v>0</v>
      </c>
      <c r="I49" s="4"/>
      <c r="J49" s="4"/>
      <c r="K49" s="4"/>
      <c r="L49" s="4"/>
      <c r="M49" s="4"/>
    </row>
    <row r="50" spans="1:13" x14ac:dyDescent="0.25">
      <c r="A50" s="7" t="s">
        <v>2</v>
      </c>
      <c r="B50" s="5">
        <v>1</v>
      </c>
      <c r="C50" s="119" t="s">
        <v>14</v>
      </c>
      <c r="D50" s="14">
        <v>5.99</v>
      </c>
      <c r="E50" s="34">
        <v>0</v>
      </c>
      <c r="F50" s="39">
        <f t="shared" si="3"/>
        <v>5.99</v>
      </c>
      <c r="G50" s="39">
        <f t="shared" si="4"/>
        <v>5.99</v>
      </c>
      <c r="H50" s="39">
        <f t="shared" si="5"/>
        <v>0</v>
      </c>
      <c r="I50" s="4"/>
      <c r="J50" s="4"/>
      <c r="K50" s="4"/>
      <c r="L50" s="4"/>
      <c r="M50" s="4"/>
    </row>
    <row r="51" spans="1:13" x14ac:dyDescent="0.25">
      <c r="A51" s="7" t="s">
        <v>203</v>
      </c>
      <c r="B51" s="5">
        <v>1</v>
      </c>
      <c r="C51" s="119" t="s">
        <v>14</v>
      </c>
      <c r="D51" s="14">
        <v>0</v>
      </c>
      <c r="E51" s="34">
        <v>1</v>
      </c>
      <c r="F51" s="39">
        <f t="shared" si="3"/>
        <v>0</v>
      </c>
      <c r="G51" s="39">
        <f t="shared" si="4"/>
        <v>0</v>
      </c>
      <c r="H51" s="39">
        <f t="shared" si="5"/>
        <v>0</v>
      </c>
      <c r="I51" s="4"/>
      <c r="J51" s="4"/>
      <c r="K51" s="4"/>
      <c r="L51" s="4"/>
      <c r="M51" s="4"/>
    </row>
    <row r="52" spans="1:13" x14ac:dyDescent="0.25">
      <c r="A52" s="7" t="s">
        <v>204</v>
      </c>
      <c r="B52" s="5">
        <v>1</v>
      </c>
      <c r="C52" s="119" t="s">
        <v>14</v>
      </c>
      <c r="D52" s="14">
        <v>0</v>
      </c>
      <c r="E52" s="34">
        <v>1</v>
      </c>
      <c r="F52" s="39">
        <f t="shared" si="3"/>
        <v>0</v>
      </c>
      <c r="G52" s="39">
        <f t="shared" si="4"/>
        <v>0</v>
      </c>
      <c r="H52" s="39">
        <f t="shared" si="5"/>
        <v>0</v>
      </c>
      <c r="I52" s="4"/>
      <c r="J52" s="4"/>
      <c r="K52" s="4"/>
      <c r="L52" s="4"/>
      <c r="M52" s="4"/>
    </row>
    <row r="53" spans="1:13" x14ac:dyDescent="0.25">
      <c r="A53" s="7" t="s">
        <v>33</v>
      </c>
      <c r="B53" s="5">
        <v>1</v>
      </c>
      <c r="C53" s="119" t="s">
        <v>14</v>
      </c>
      <c r="D53" s="14">
        <v>3.63</v>
      </c>
      <c r="E53" s="34">
        <v>0</v>
      </c>
      <c r="F53" s="39">
        <f t="shared" si="3"/>
        <v>3.63</v>
      </c>
      <c r="G53" s="39">
        <f t="shared" si="4"/>
        <v>3.63</v>
      </c>
      <c r="H53" s="39">
        <f t="shared" si="5"/>
        <v>0</v>
      </c>
      <c r="I53" s="4"/>
      <c r="J53" s="4"/>
      <c r="K53" s="4"/>
      <c r="L53" s="4"/>
      <c r="M53" s="4"/>
    </row>
    <row r="54" spans="1:13" x14ac:dyDescent="0.25">
      <c r="A54" s="7" t="s">
        <v>35</v>
      </c>
      <c r="B54" s="5">
        <v>1</v>
      </c>
      <c r="C54" s="119" t="s">
        <v>14</v>
      </c>
      <c r="D54" s="14">
        <v>0</v>
      </c>
      <c r="E54" s="34">
        <v>0</v>
      </c>
      <c r="F54" s="39">
        <f t="shared" si="3"/>
        <v>0</v>
      </c>
      <c r="G54" s="39">
        <f t="shared" si="4"/>
        <v>0</v>
      </c>
      <c r="H54" s="39">
        <f t="shared" si="5"/>
        <v>0</v>
      </c>
      <c r="I54" s="4"/>
      <c r="J54" s="4"/>
      <c r="K54" s="4"/>
      <c r="L54" s="4"/>
      <c r="M54" s="4"/>
    </row>
    <row r="55" spans="1:13" x14ac:dyDescent="0.25">
      <c r="A55" s="7" t="s">
        <v>41</v>
      </c>
      <c r="B55" s="5">
        <v>1</v>
      </c>
      <c r="C55" s="119" t="s">
        <v>14</v>
      </c>
      <c r="D55" s="14">
        <v>0</v>
      </c>
      <c r="E55" s="34">
        <v>0</v>
      </c>
      <c r="F55" s="39">
        <f>B55*D55</f>
        <v>0</v>
      </c>
      <c r="G55" s="39">
        <f t="shared" si="4"/>
        <v>0</v>
      </c>
      <c r="H55" s="39">
        <f t="shared" si="5"/>
        <v>0</v>
      </c>
      <c r="I55" s="4"/>
      <c r="J55" s="4"/>
      <c r="K55" s="4"/>
      <c r="L55" s="4"/>
      <c r="M55" s="4"/>
    </row>
    <row r="56" spans="1:13" x14ac:dyDescent="0.25">
      <c r="A56" s="7" t="s">
        <v>36</v>
      </c>
      <c r="B56" s="43">
        <v>1</v>
      </c>
      <c r="C56" s="119" t="s">
        <v>14</v>
      </c>
      <c r="D56" s="14">
        <v>26.5</v>
      </c>
      <c r="E56" s="34">
        <v>1</v>
      </c>
      <c r="F56" s="39">
        <f>D56*B56</f>
        <v>26.5</v>
      </c>
      <c r="G56" s="39">
        <f>IF($H$6="Cash",D56,F56*(1-E56))</f>
        <v>0</v>
      </c>
      <c r="H56" s="39">
        <f>IF($H$6="Cash",0,F56*E56)</f>
        <v>26.5</v>
      </c>
      <c r="I56" s="4"/>
      <c r="J56" s="4"/>
      <c r="K56" s="4"/>
      <c r="L56" s="4"/>
      <c r="M56" s="4"/>
    </row>
    <row r="57" spans="1:13" x14ac:dyDescent="0.25">
      <c r="A57" s="7" t="s">
        <v>42</v>
      </c>
      <c r="B57" s="43">
        <v>1</v>
      </c>
      <c r="C57" s="119" t="s">
        <v>14</v>
      </c>
      <c r="D57" s="14">
        <v>0</v>
      </c>
      <c r="E57" s="34">
        <v>1</v>
      </c>
      <c r="F57" s="39">
        <f>B57*D57</f>
        <v>0</v>
      </c>
      <c r="G57" s="39">
        <f t="shared" si="4"/>
        <v>0</v>
      </c>
      <c r="H57" s="39">
        <f t="shared" si="5"/>
        <v>0</v>
      </c>
      <c r="I57" s="4"/>
      <c r="J57" s="4"/>
      <c r="K57" s="4"/>
      <c r="L57" s="4"/>
      <c r="M57" s="4"/>
    </row>
    <row r="58" spans="1:13" x14ac:dyDescent="0.25">
      <c r="A58" s="4" t="s">
        <v>37</v>
      </c>
      <c r="B58" s="5"/>
      <c r="C58" s="119"/>
      <c r="D58" s="10"/>
      <c r="E58" s="36"/>
      <c r="F58" s="39">
        <f>SUM(F49:F57)</f>
        <v>53.19</v>
      </c>
      <c r="G58" s="39">
        <f>SUM(G49:G57)</f>
        <v>26.69</v>
      </c>
      <c r="H58" s="39">
        <f>SUM(H49:H57)</f>
        <v>26.5</v>
      </c>
      <c r="I58" s="4"/>
      <c r="J58" s="4"/>
      <c r="K58" s="4"/>
      <c r="L58" s="4"/>
      <c r="M58" s="4"/>
    </row>
    <row r="59" spans="1:13" x14ac:dyDescent="0.25">
      <c r="A59" s="4" t="s">
        <v>38</v>
      </c>
      <c r="B59" s="5"/>
      <c r="C59" s="119"/>
      <c r="D59" s="10"/>
      <c r="E59" s="36"/>
      <c r="F59" s="39">
        <f>F45+F58</f>
        <v>202.56791133986349</v>
      </c>
      <c r="G59" s="39">
        <f>G45+G58</f>
        <v>162.02294172832063</v>
      </c>
      <c r="H59" s="39">
        <f>H45+H58</f>
        <v>40.197121326086958</v>
      </c>
      <c r="I59" s="4"/>
      <c r="J59" s="4"/>
      <c r="K59" s="4"/>
      <c r="L59" s="4"/>
      <c r="M59" s="4"/>
    </row>
    <row r="60" spans="1:13" ht="13.8" x14ac:dyDescent="0.25">
      <c r="A60" s="12" t="s">
        <v>39</v>
      </c>
      <c r="B60" s="5"/>
      <c r="C60" s="119"/>
      <c r="D60" s="10"/>
      <c r="E60" s="36"/>
      <c r="F60" s="72">
        <f>F12-F59</f>
        <v>-49.66791133986348</v>
      </c>
      <c r="G60" s="72">
        <f>G12-G59</f>
        <v>-59.579941728320634</v>
      </c>
      <c r="H60" s="72">
        <f>H12-H59</f>
        <v>10.259878673913043</v>
      </c>
      <c r="I60" s="4"/>
      <c r="J60" s="4"/>
      <c r="K60" s="4"/>
      <c r="L60" s="4"/>
      <c r="M60" s="4"/>
    </row>
    <row r="61" spans="1:13" x14ac:dyDescent="0.25">
      <c r="A61" s="4"/>
      <c r="B61" s="5"/>
      <c r="C61" s="119"/>
      <c r="D61" s="10"/>
      <c r="E61" s="36"/>
      <c r="F61" s="8"/>
      <c r="G61" s="8"/>
      <c r="H61" s="8"/>
      <c r="I61" s="4"/>
      <c r="J61" s="4"/>
      <c r="K61" s="4"/>
      <c r="L61" s="4"/>
      <c r="M61" s="4"/>
    </row>
    <row r="62" spans="1:13" ht="13.8" x14ac:dyDescent="0.25">
      <c r="A62" s="113" t="s">
        <v>161</v>
      </c>
      <c r="B62" s="113"/>
      <c r="C62" s="266"/>
      <c r="D62" s="113"/>
      <c r="E62" s="114"/>
      <c r="F62" s="115">
        <f>(F60/F59)</f>
        <v>-0.24519140771774001</v>
      </c>
      <c r="G62" s="115">
        <f t="shared" ref="G62:H62" si="6">(G60/G59)</f>
        <v>-0.36772534242850635</v>
      </c>
      <c r="H62" s="115">
        <f t="shared" si="6"/>
        <v>0.25523913990464364</v>
      </c>
      <c r="I62" s="4"/>
      <c r="J62" s="4"/>
      <c r="K62" s="4"/>
      <c r="L62" s="4"/>
      <c r="M62" s="4"/>
    </row>
    <row r="63" spans="1:13" ht="12" customHeight="1" x14ac:dyDescent="0.25">
      <c r="B63" s="41"/>
      <c r="C63" s="41"/>
      <c r="D63" s="46"/>
      <c r="E63" s="36"/>
      <c r="F63" s="42"/>
      <c r="G63" s="4"/>
      <c r="H63" s="4"/>
      <c r="I63" s="4"/>
      <c r="J63" s="4"/>
      <c r="K63" s="4"/>
      <c r="L63" s="4"/>
      <c r="M63" s="4"/>
    </row>
    <row r="64" spans="1:13" x14ac:dyDescent="0.25">
      <c r="B64" s="4"/>
      <c r="C64" s="4"/>
      <c r="D64" s="4"/>
      <c r="E64" s="10"/>
      <c r="F64" s="4"/>
      <c r="G64" s="4"/>
      <c r="H64" s="4"/>
      <c r="I64" s="4"/>
      <c r="J64" s="4"/>
      <c r="K64" s="4"/>
      <c r="L64" s="4"/>
      <c r="M64" s="4"/>
    </row>
    <row r="65" spans="2:13" x14ac:dyDescent="0.25">
      <c r="B65" s="4"/>
      <c r="C65" s="4"/>
      <c r="D65" s="4"/>
      <c r="E65" s="10"/>
      <c r="F65" s="4"/>
      <c r="G65" s="4"/>
      <c r="H65" s="4"/>
      <c r="I65" s="4"/>
      <c r="J65" s="4"/>
      <c r="K65" s="4"/>
      <c r="L65" s="4"/>
      <c r="M65" s="4"/>
    </row>
    <row r="66" spans="2:13" x14ac:dyDescent="0.25">
      <c r="B66" s="4"/>
      <c r="C66" s="4"/>
      <c r="D66" s="4"/>
      <c r="E66" s="10"/>
      <c r="F66" s="4"/>
      <c r="G66" s="4"/>
      <c r="H66" s="4"/>
      <c r="I66" s="4"/>
      <c r="J66" s="4"/>
      <c r="K66" s="4"/>
      <c r="L66" s="4"/>
      <c r="M66" s="4"/>
    </row>
    <row r="67" spans="2:13" x14ac:dyDescent="0.25">
      <c r="B67" s="4"/>
      <c r="C67" s="4"/>
      <c r="D67" s="4"/>
      <c r="E67" s="4"/>
      <c r="F67" s="4"/>
      <c r="G67" s="4"/>
      <c r="H67" s="4"/>
      <c r="I67" s="4"/>
      <c r="J67" s="4"/>
      <c r="K67" s="4"/>
      <c r="L67" s="4"/>
      <c r="M67" s="4"/>
    </row>
    <row r="68" spans="2:13" x14ac:dyDescent="0.25">
      <c r="B68" s="4"/>
      <c r="C68" s="4"/>
      <c r="D68" s="4"/>
      <c r="E68" s="46"/>
      <c r="F68" s="4"/>
      <c r="G68" s="4"/>
      <c r="H68" s="4"/>
      <c r="I68" s="4"/>
      <c r="J68" s="4"/>
      <c r="K68" s="4"/>
      <c r="L68" s="4"/>
      <c r="M68" s="4"/>
    </row>
    <row r="69" spans="2:13" x14ac:dyDescent="0.25">
      <c r="B69" s="4"/>
      <c r="C69" s="4"/>
      <c r="D69" s="4"/>
      <c r="E69" s="4"/>
      <c r="F69" s="4"/>
      <c r="G69" s="4"/>
      <c r="H69" s="4"/>
      <c r="I69" s="4"/>
      <c r="J69" s="4"/>
      <c r="K69" s="4"/>
      <c r="L69" s="4"/>
      <c r="M69" s="4"/>
    </row>
    <row r="70" spans="2:13" x14ac:dyDescent="0.25">
      <c r="B70" s="4"/>
      <c r="C70" s="4"/>
      <c r="D70" s="4"/>
      <c r="E70" s="4"/>
      <c r="F70" s="4"/>
      <c r="G70" s="4"/>
      <c r="H70" s="4"/>
      <c r="I70" s="4"/>
      <c r="J70" s="4"/>
      <c r="K70" s="4"/>
      <c r="L70" s="4"/>
      <c r="M70" s="4"/>
    </row>
    <row r="71" spans="2:13" x14ac:dyDescent="0.25">
      <c r="B71" s="4"/>
      <c r="C71" s="4"/>
      <c r="D71" s="4"/>
      <c r="E71" s="4"/>
      <c r="F71" s="4"/>
      <c r="G71" s="4"/>
      <c r="H71" s="4"/>
      <c r="I71" s="4"/>
      <c r="J71" s="4"/>
      <c r="K71" s="4"/>
      <c r="L71" s="4"/>
      <c r="M71" s="4"/>
    </row>
    <row r="72" spans="2:13" x14ac:dyDescent="0.25">
      <c r="I72" s="4"/>
      <c r="J72" s="4"/>
      <c r="K72" s="4"/>
      <c r="L72" s="4"/>
      <c r="M72" s="4"/>
    </row>
    <row r="73" spans="2:13" x14ac:dyDescent="0.25">
      <c r="J73" s="4"/>
      <c r="K73" s="4"/>
      <c r="L73" s="4"/>
      <c r="M73" s="4"/>
    </row>
    <row r="74" spans="2:13" x14ac:dyDescent="0.25">
      <c r="J74" s="4"/>
      <c r="K74" s="4"/>
      <c r="L74" s="4"/>
      <c r="M74"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9:A21">
      <formula1>Fert_Names</formula1>
    </dataValidation>
  </dataValidations>
  <printOptions horizontalCentered="1"/>
  <pageMargins left="0.25" right="0.25" top="0.75" bottom="0.75" header="0.3" footer="0.3"/>
  <pageSetup scale="81"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1">
    <pageSetUpPr fitToPage="1"/>
  </sheetPr>
  <dimension ref="A1:T75"/>
  <sheetViews>
    <sheetView showGridLines="0" showRowColHeaders="0" zoomScale="90" zoomScaleNormal="90" workbookViewId="0">
      <pane ySplit="7" topLeftCell="A44" activePane="bottomLeft" state="frozen"/>
      <selection activeCell="B9" sqref="B9"/>
      <selection pane="bottomLeft" activeCell="B9" sqref="B9"/>
    </sheetView>
  </sheetViews>
  <sheetFormatPr defaultColWidth="9.109375" defaultRowHeight="13.2" x14ac:dyDescent="0.25"/>
  <cols>
    <col min="1" max="1" width="35.5546875" style="77" customWidth="1"/>
    <col min="2" max="8" width="10.5546875" style="77" customWidth="1"/>
    <col min="9" max="9" width="9.5546875" style="77" customWidth="1"/>
    <col min="10" max="16384" width="9.109375" style="77"/>
  </cols>
  <sheetData>
    <row r="1" spans="1:20" customFormat="1" ht="32.25" customHeight="1" x14ac:dyDescent="0.25">
      <c r="A1" s="77"/>
      <c r="B1" s="77"/>
      <c r="C1" s="77"/>
      <c r="D1" s="77"/>
      <c r="E1" s="77"/>
      <c r="F1" s="77"/>
      <c r="G1" s="77"/>
      <c r="K1" s="77"/>
      <c r="L1" s="77"/>
      <c r="M1" s="77"/>
      <c r="N1" s="77"/>
      <c r="O1" s="77"/>
      <c r="P1" s="77"/>
      <c r="Q1" s="77"/>
      <c r="R1" s="77"/>
    </row>
    <row r="2" spans="1:20" customFormat="1" ht="17.399999999999999" x14ac:dyDescent="0.3">
      <c r="A2" s="318" t="s">
        <v>194</v>
      </c>
      <c r="B2" s="318"/>
      <c r="C2" s="318"/>
      <c r="D2" s="318"/>
      <c r="E2" s="318"/>
      <c r="F2" s="318"/>
      <c r="G2" s="318"/>
      <c r="H2" s="318"/>
      <c r="I2" s="4"/>
      <c r="J2" s="4"/>
      <c r="K2" s="4"/>
      <c r="L2" s="4"/>
      <c r="M2" s="4"/>
      <c r="N2" s="4"/>
    </row>
    <row r="3" spans="1:20" ht="15" x14ac:dyDescent="0.25">
      <c r="A3" s="321" t="s">
        <v>167</v>
      </c>
      <c r="B3" s="321"/>
      <c r="C3" s="321"/>
      <c r="D3" s="321"/>
      <c r="E3" s="321"/>
      <c r="F3" s="321"/>
      <c r="G3" s="321"/>
      <c r="H3" s="321"/>
      <c r="I3" s="126"/>
      <c r="J3" s="126"/>
      <c r="K3" s="126"/>
      <c r="L3" s="126"/>
      <c r="M3" s="126"/>
    </row>
    <row r="4" spans="1:20" ht="15" x14ac:dyDescent="0.25">
      <c r="A4" s="321" t="s">
        <v>269</v>
      </c>
      <c r="B4" s="321"/>
      <c r="C4" s="321"/>
      <c r="D4" s="321"/>
      <c r="E4" s="321"/>
      <c r="F4" s="321"/>
      <c r="G4" s="321"/>
      <c r="H4" s="321"/>
      <c r="I4" s="126"/>
      <c r="J4" s="126"/>
      <c r="K4" s="126"/>
      <c r="L4" s="126"/>
      <c r="M4" s="126"/>
    </row>
    <row r="5" spans="1:20" ht="13.8" x14ac:dyDescent="0.25">
      <c r="A5" s="126"/>
      <c r="B5" s="159"/>
      <c r="C5" s="159"/>
      <c r="D5" s="159"/>
      <c r="E5" s="159"/>
      <c r="G5" s="250"/>
      <c r="H5" s="243" t="s">
        <v>102</v>
      </c>
      <c r="I5" s="161" t="s">
        <v>55</v>
      </c>
      <c r="J5" s="159"/>
      <c r="K5" s="126"/>
      <c r="L5" s="126"/>
      <c r="M5" s="126"/>
      <c r="S5" s="162"/>
      <c r="T5" s="162"/>
    </row>
    <row r="6" spans="1:20" ht="13.8" x14ac:dyDescent="0.25">
      <c r="A6" s="126" t="s">
        <v>3</v>
      </c>
      <c r="B6" s="163" t="s">
        <v>4</v>
      </c>
      <c r="C6" s="163" t="s">
        <v>5</v>
      </c>
      <c r="D6" s="163" t="s">
        <v>6</v>
      </c>
      <c r="E6" s="163" t="s">
        <v>53</v>
      </c>
      <c r="F6" s="249" t="s">
        <v>151</v>
      </c>
      <c r="G6" s="249"/>
      <c r="H6" s="160" t="s">
        <v>55</v>
      </c>
      <c r="I6" s="70" t="s">
        <v>103</v>
      </c>
      <c r="J6" s="164"/>
      <c r="K6" s="134"/>
      <c r="L6" s="126"/>
      <c r="M6" s="126"/>
    </row>
    <row r="7" spans="1:20" x14ac:dyDescent="0.25">
      <c r="A7" s="126"/>
      <c r="B7" s="164"/>
      <c r="C7" s="164"/>
      <c r="D7" s="164"/>
      <c r="E7" s="163" t="s">
        <v>55</v>
      </c>
      <c r="F7" s="163" t="s">
        <v>56</v>
      </c>
      <c r="G7" s="163" t="s">
        <v>52</v>
      </c>
      <c r="H7" s="163" t="s">
        <v>53</v>
      </c>
      <c r="J7" s="165"/>
      <c r="K7" s="126"/>
      <c r="L7" s="126"/>
      <c r="M7" s="126"/>
    </row>
    <row r="8" spans="1:20" x14ac:dyDescent="0.25">
      <c r="A8" s="126" t="s">
        <v>7</v>
      </c>
      <c r="B8" s="164"/>
      <c r="C8" s="163"/>
      <c r="D8" s="164"/>
      <c r="E8" s="164"/>
      <c r="F8" s="164"/>
      <c r="G8" s="164"/>
      <c r="H8" s="164"/>
      <c r="J8" s="165"/>
      <c r="K8" s="126"/>
      <c r="L8" s="126"/>
      <c r="M8" s="126"/>
    </row>
    <row r="9" spans="1:20" x14ac:dyDescent="0.25">
      <c r="A9" s="166" t="s">
        <v>8</v>
      </c>
      <c r="B9" s="167">
        <v>400</v>
      </c>
      <c r="C9" s="163" t="s">
        <v>79</v>
      </c>
      <c r="D9" s="168">
        <f>'Universal Input Prices'!$B$8</f>
        <v>0.65</v>
      </c>
      <c r="E9" s="169">
        <v>0</v>
      </c>
      <c r="F9" s="158">
        <f>D9*B9</f>
        <v>260</v>
      </c>
      <c r="G9" s="158">
        <f>F9*(1-E9)</f>
        <v>260</v>
      </c>
      <c r="H9" s="158">
        <f>IF(H6="Cash", D60,F9*E9)</f>
        <v>0</v>
      </c>
      <c r="J9" s="170"/>
      <c r="K9" s="171"/>
      <c r="L9" s="126"/>
      <c r="M9" s="126"/>
    </row>
    <row r="10" spans="1:20" x14ac:dyDescent="0.25">
      <c r="A10" s="166" t="s">
        <v>9</v>
      </c>
      <c r="B10" s="172">
        <f>B9/500*'Universal Input Prices'!B39/2000</f>
        <v>0.3</v>
      </c>
      <c r="C10" s="163" t="s">
        <v>10</v>
      </c>
      <c r="D10" s="173">
        <f>'Universal Input Prices'!$B$9</f>
        <v>200</v>
      </c>
      <c r="E10" s="169">
        <v>0</v>
      </c>
      <c r="F10" s="158">
        <f>D10*B10</f>
        <v>60</v>
      </c>
      <c r="G10" s="158">
        <f>F10*(1-E10)</f>
        <v>60</v>
      </c>
      <c r="H10" s="158">
        <f>IF(H6="Cash", 0,F10*E10)</f>
        <v>0</v>
      </c>
      <c r="J10" s="170"/>
      <c r="K10" s="126"/>
      <c r="L10" s="126"/>
      <c r="M10" s="126"/>
    </row>
    <row r="11" spans="1:20" x14ac:dyDescent="0.25">
      <c r="A11" s="127" t="s">
        <v>11</v>
      </c>
      <c r="B11" s="174">
        <v>0.22220000000000001</v>
      </c>
      <c r="C11" s="273"/>
      <c r="D11" s="170"/>
      <c r="E11" s="175"/>
      <c r="F11" s="158"/>
      <c r="G11" s="158"/>
      <c r="H11" s="158"/>
      <c r="I11" s="176"/>
      <c r="J11" s="165"/>
      <c r="K11" s="126"/>
      <c r="L11" s="126"/>
      <c r="M11" s="126"/>
    </row>
    <row r="12" spans="1:20" customFormat="1" x14ac:dyDescent="0.25">
      <c r="A12" s="7" t="s">
        <v>263</v>
      </c>
      <c r="B12" s="47">
        <v>0</v>
      </c>
      <c r="C12" s="119" t="s">
        <v>264</v>
      </c>
      <c r="D12" s="55">
        <v>1</v>
      </c>
      <c r="E12" s="34">
        <v>0</v>
      </c>
      <c r="F12" s="39">
        <f>D12*B12</f>
        <v>0</v>
      </c>
      <c r="G12" s="39">
        <f>F12*(1-E12)</f>
        <v>0</v>
      </c>
      <c r="H12" s="39">
        <f>IF(H9="Cash", D61,F12*E12)</f>
        <v>0</v>
      </c>
      <c r="I12" s="4"/>
    </row>
    <row r="13" spans="1:20" x14ac:dyDescent="0.25">
      <c r="A13" s="126" t="s">
        <v>12</v>
      </c>
      <c r="B13" s="164"/>
      <c r="C13" s="163"/>
      <c r="D13" s="170"/>
      <c r="E13" s="175"/>
      <c r="F13" s="158">
        <f>SUM(F9:F12)</f>
        <v>320</v>
      </c>
      <c r="G13" s="158">
        <f>SUM(G9:G12)</f>
        <v>320</v>
      </c>
      <c r="H13" s="158">
        <f>SUM(H9:H12)</f>
        <v>0</v>
      </c>
      <c r="I13" s="176"/>
      <c r="J13" s="170"/>
      <c r="K13" s="126"/>
      <c r="L13" s="126"/>
      <c r="M13" s="126"/>
    </row>
    <row r="14" spans="1:20" x14ac:dyDescent="0.25">
      <c r="A14" s="126"/>
      <c r="B14" s="164"/>
      <c r="C14" s="163"/>
      <c r="D14" s="170"/>
      <c r="E14" s="175"/>
      <c r="F14" s="158"/>
      <c r="G14" s="158"/>
      <c r="H14" s="158"/>
      <c r="I14" s="165"/>
      <c r="J14" s="165"/>
      <c r="K14" s="126"/>
      <c r="L14" s="126"/>
      <c r="M14" s="126"/>
    </row>
    <row r="15" spans="1:20" x14ac:dyDescent="0.25">
      <c r="A15" s="4" t="s">
        <v>207</v>
      </c>
      <c r="B15" s="164"/>
      <c r="C15" s="163"/>
      <c r="D15" s="170"/>
      <c r="E15" s="175"/>
      <c r="F15" s="158"/>
      <c r="G15" s="158"/>
      <c r="H15" s="158"/>
      <c r="I15" s="165"/>
      <c r="J15" s="165"/>
      <c r="K15" s="126"/>
      <c r="L15" s="126"/>
      <c r="M15" s="126"/>
    </row>
    <row r="16" spans="1:20" x14ac:dyDescent="0.25">
      <c r="A16" s="126" t="s">
        <v>1</v>
      </c>
      <c r="B16" s="164"/>
      <c r="C16" s="163"/>
      <c r="D16" s="170"/>
      <c r="E16" s="175"/>
      <c r="F16" s="158"/>
      <c r="G16" s="158"/>
      <c r="H16" s="158"/>
      <c r="I16" s="165"/>
      <c r="J16" s="165"/>
      <c r="K16" s="126"/>
      <c r="L16" s="126"/>
      <c r="M16" s="126"/>
    </row>
    <row r="17" spans="1:13" x14ac:dyDescent="0.25">
      <c r="A17" s="166" t="s">
        <v>9</v>
      </c>
      <c r="B17" s="186">
        <v>0.18</v>
      </c>
      <c r="C17" s="163" t="s">
        <v>142</v>
      </c>
      <c r="D17" s="178">
        <v>350</v>
      </c>
      <c r="E17" s="169">
        <v>0</v>
      </c>
      <c r="F17" s="158">
        <f>D17*B17</f>
        <v>63</v>
      </c>
      <c r="G17" s="158">
        <f>F17*(1-E17)</f>
        <v>63</v>
      </c>
      <c r="H17" s="158">
        <f>F17*E17</f>
        <v>0</v>
      </c>
      <c r="I17" s="179"/>
      <c r="J17" s="170"/>
      <c r="K17" s="126"/>
      <c r="L17" s="126"/>
      <c r="M17" s="126"/>
    </row>
    <row r="18" spans="1:13" x14ac:dyDescent="0.25">
      <c r="A18" s="303" t="s">
        <v>256</v>
      </c>
      <c r="B18" s="180">
        <v>1</v>
      </c>
      <c r="C18" s="163" t="s">
        <v>14</v>
      </c>
      <c r="D18" s="87">
        <v>0.7</v>
      </c>
      <c r="E18" s="169">
        <v>0</v>
      </c>
      <c r="F18" s="158">
        <f>D18*B18</f>
        <v>0.7</v>
      </c>
      <c r="G18" s="158">
        <f>F18*(1-E18)</f>
        <v>0.7</v>
      </c>
      <c r="H18" s="158">
        <f>F18*E18</f>
        <v>0</v>
      </c>
      <c r="I18" s="179"/>
      <c r="J18" s="170"/>
    </row>
    <row r="19" spans="1:13" x14ac:dyDescent="0.25">
      <c r="A19" s="126" t="s">
        <v>0</v>
      </c>
      <c r="B19" s="177"/>
      <c r="C19" s="163"/>
      <c r="D19" s="181"/>
      <c r="E19" s="175"/>
      <c r="F19" s="158"/>
      <c r="G19" s="158"/>
      <c r="H19" s="158"/>
      <c r="I19" s="165"/>
      <c r="J19" s="165"/>
    </row>
    <row r="20" spans="1:13" x14ac:dyDescent="0.25">
      <c r="A20" s="302" t="s">
        <v>133</v>
      </c>
      <c r="B20" s="177">
        <v>20</v>
      </c>
      <c r="C20" s="163" t="s">
        <v>79</v>
      </c>
      <c r="D20" s="54">
        <f>IF(A20="",0,VLOOKUP(A20,'Universal Input Prices'!$A$26:$B$30, 2))</f>
        <v>0.42980769230769234</v>
      </c>
      <c r="E20" s="169">
        <v>0</v>
      </c>
      <c r="F20" s="158">
        <f>D20*B20</f>
        <v>8.5961538461538467</v>
      </c>
      <c r="G20" s="158">
        <f>F20*(1-E20)</f>
        <v>8.5961538461538467</v>
      </c>
      <c r="H20" s="158">
        <f>F20*E20</f>
        <v>0</v>
      </c>
      <c r="I20" s="179"/>
      <c r="J20" s="170"/>
    </row>
    <row r="21" spans="1:13" x14ac:dyDescent="0.25">
      <c r="A21" s="302" t="s">
        <v>134</v>
      </c>
      <c r="B21" s="177">
        <v>30</v>
      </c>
      <c r="C21" s="163" t="s">
        <v>79</v>
      </c>
      <c r="D21" s="54">
        <f>IF(A21="",0,VLOOKUP(A21,'Universal Input Prices'!$A$26:$B$30, 2))</f>
        <v>0.33043478260869563</v>
      </c>
      <c r="E21" s="169">
        <v>0</v>
      </c>
      <c r="F21" s="158">
        <f>D21*B21</f>
        <v>9.9130434782608692</v>
      </c>
      <c r="G21" s="158">
        <f>F21*(1-E21)</f>
        <v>9.9130434782608692</v>
      </c>
      <c r="H21" s="158">
        <f>F21*E21</f>
        <v>0</v>
      </c>
      <c r="I21" s="179"/>
      <c r="J21" s="170"/>
    </row>
    <row r="22" spans="1:13" customFormat="1" x14ac:dyDescent="0.25">
      <c r="A22" s="302"/>
      <c r="B22" s="24">
        <v>0</v>
      </c>
      <c r="C22" s="119" t="s">
        <v>79</v>
      </c>
      <c r="D22" s="54">
        <f>IF(A22="",0,VLOOKUP(A22,'Universal Input Prices'!$A$26:$B$30, 2))</f>
        <v>0</v>
      </c>
      <c r="E22" s="34">
        <v>0</v>
      </c>
      <c r="F22" s="39">
        <f>D22*B22</f>
        <v>0</v>
      </c>
      <c r="G22" s="39">
        <f>F22*(1-E22)</f>
        <v>0</v>
      </c>
      <c r="H22" s="39">
        <f>F22*E22</f>
        <v>0</v>
      </c>
      <c r="I22" s="4"/>
    </row>
    <row r="23" spans="1:13" x14ac:dyDescent="0.25">
      <c r="A23" s="126" t="s">
        <v>15</v>
      </c>
      <c r="B23" s="183"/>
      <c r="C23" s="163"/>
      <c r="D23" s="170"/>
      <c r="E23" s="175"/>
      <c r="F23" s="158"/>
      <c r="G23" s="158"/>
      <c r="H23" s="158"/>
      <c r="I23" s="165"/>
      <c r="J23" s="165"/>
    </row>
    <row r="24" spans="1:13" x14ac:dyDescent="0.25">
      <c r="A24" s="184" t="s">
        <v>238</v>
      </c>
      <c r="B24" s="177">
        <v>1</v>
      </c>
      <c r="C24" s="163" t="s">
        <v>14</v>
      </c>
      <c r="D24" s="87">
        <v>14.5</v>
      </c>
      <c r="E24" s="169">
        <v>0</v>
      </c>
      <c r="F24" s="158">
        <f t="shared" ref="F24:F40" si="0">D24*B24</f>
        <v>14.5</v>
      </c>
      <c r="G24" s="158">
        <f t="shared" ref="G24:G40" si="1">F24*(1-E24)</f>
        <v>14.5</v>
      </c>
      <c r="H24" s="158">
        <f t="shared" ref="H24:H40" si="2">F24*E24</f>
        <v>0</v>
      </c>
      <c r="I24" s="179"/>
      <c r="J24" s="170"/>
    </row>
    <row r="25" spans="1:13" x14ac:dyDescent="0.25">
      <c r="A25" s="184" t="s">
        <v>239</v>
      </c>
      <c r="B25" s="177">
        <v>1</v>
      </c>
      <c r="C25" s="163" t="s">
        <v>14</v>
      </c>
      <c r="D25" s="87">
        <v>14.3</v>
      </c>
      <c r="E25" s="169">
        <v>0</v>
      </c>
      <c r="F25" s="158">
        <f t="shared" si="0"/>
        <v>14.3</v>
      </c>
      <c r="G25" s="158">
        <f t="shared" si="1"/>
        <v>14.3</v>
      </c>
      <c r="H25" s="158">
        <f t="shared" si="2"/>
        <v>0</v>
      </c>
      <c r="I25" s="179"/>
      <c r="J25" s="170"/>
    </row>
    <row r="26" spans="1:13" x14ac:dyDescent="0.25">
      <c r="A26" s="184" t="s">
        <v>241</v>
      </c>
      <c r="B26" s="177">
        <v>1</v>
      </c>
      <c r="C26" s="163" t="s">
        <v>14</v>
      </c>
      <c r="D26" s="87">
        <v>0</v>
      </c>
      <c r="E26" s="169">
        <v>0</v>
      </c>
      <c r="F26" s="158">
        <f t="shared" si="0"/>
        <v>0</v>
      </c>
      <c r="G26" s="158">
        <f t="shared" si="1"/>
        <v>0</v>
      </c>
      <c r="H26" s="158">
        <f t="shared" si="2"/>
        <v>0</v>
      </c>
      <c r="I26" s="179"/>
      <c r="J26" s="170"/>
      <c r="K26" s="126"/>
      <c r="L26" s="126"/>
      <c r="M26" s="126"/>
    </row>
    <row r="27" spans="1:13" x14ac:dyDescent="0.25">
      <c r="A27" s="166" t="s">
        <v>43</v>
      </c>
      <c r="B27" s="177">
        <v>1</v>
      </c>
      <c r="C27" s="163" t="s">
        <v>14</v>
      </c>
      <c r="D27" s="87">
        <v>5</v>
      </c>
      <c r="E27" s="169">
        <v>0</v>
      </c>
      <c r="F27" s="158">
        <f t="shared" si="0"/>
        <v>5</v>
      </c>
      <c r="G27" s="158">
        <f t="shared" si="1"/>
        <v>5</v>
      </c>
      <c r="H27" s="158">
        <f t="shared" si="2"/>
        <v>0</v>
      </c>
      <c r="I27" s="179"/>
      <c r="J27" s="170"/>
      <c r="K27" s="126"/>
      <c r="L27" s="126"/>
      <c r="M27" s="126"/>
    </row>
    <row r="28" spans="1:13" x14ac:dyDescent="0.25">
      <c r="A28" s="184" t="s">
        <v>237</v>
      </c>
      <c r="B28" s="177">
        <v>0.5</v>
      </c>
      <c r="C28" s="163" t="s">
        <v>14</v>
      </c>
      <c r="D28" s="87">
        <v>9.6</v>
      </c>
      <c r="E28" s="169">
        <v>0</v>
      </c>
      <c r="F28" s="158">
        <f t="shared" si="0"/>
        <v>4.8</v>
      </c>
      <c r="G28" s="158">
        <f t="shared" si="1"/>
        <v>4.8</v>
      </c>
      <c r="H28" s="158">
        <f t="shared" si="2"/>
        <v>0</v>
      </c>
      <c r="I28" s="179"/>
      <c r="J28" s="170"/>
      <c r="K28" s="126"/>
      <c r="L28" s="126"/>
      <c r="M28" s="126"/>
    </row>
    <row r="29" spans="1:13" x14ac:dyDescent="0.25">
      <c r="A29" s="166" t="s">
        <v>16</v>
      </c>
      <c r="B29" s="177">
        <v>0.5</v>
      </c>
      <c r="C29" s="163" t="s">
        <v>14</v>
      </c>
      <c r="D29" s="87">
        <v>25</v>
      </c>
      <c r="E29" s="169">
        <v>0</v>
      </c>
      <c r="F29" s="158">
        <f t="shared" si="0"/>
        <v>12.5</v>
      </c>
      <c r="G29" s="158">
        <f t="shared" si="1"/>
        <v>12.5</v>
      </c>
      <c r="H29" s="158">
        <f t="shared" si="2"/>
        <v>0</v>
      </c>
      <c r="I29" s="179"/>
      <c r="J29" s="170"/>
      <c r="K29" s="126"/>
      <c r="L29" s="126"/>
      <c r="M29" s="126"/>
    </row>
    <row r="30" spans="1:13" x14ac:dyDescent="0.25">
      <c r="A30" s="166" t="s">
        <v>17</v>
      </c>
      <c r="B30" s="183">
        <f>B9/100</f>
        <v>4</v>
      </c>
      <c r="C30" s="163" t="s">
        <v>19</v>
      </c>
      <c r="D30" s="182">
        <f>'Universal Input Prices'!$B$37</f>
        <v>8</v>
      </c>
      <c r="E30" s="169">
        <v>0</v>
      </c>
      <c r="F30" s="158">
        <f t="shared" si="0"/>
        <v>32</v>
      </c>
      <c r="G30" s="158">
        <f t="shared" si="1"/>
        <v>32</v>
      </c>
      <c r="H30" s="158">
        <f t="shared" si="2"/>
        <v>0</v>
      </c>
      <c r="I30" s="179"/>
      <c r="J30" s="170"/>
      <c r="K30" s="126"/>
      <c r="L30" s="126"/>
      <c r="M30" s="126"/>
    </row>
    <row r="31" spans="1:13" x14ac:dyDescent="0.25">
      <c r="A31" s="166" t="s">
        <v>18</v>
      </c>
      <c r="B31" s="164">
        <f>B9/B11/100</f>
        <v>18.001800180018002</v>
      </c>
      <c r="C31" s="163" t="s">
        <v>19</v>
      </c>
      <c r="D31" s="173">
        <f>'Universal Input Prices'!$B$38</f>
        <v>2.75</v>
      </c>
      <c r="E31" s="169">
        <v>0</v>
      </c>
      <c r="F31" s="158">
        <f t="shared" si="0"/>
        <v>49.504950495049506</v>
      </c>
      <c r="G31" s="158">
        <f t="shared" si="1"/>
        <v>49.504950495049506</v>
      </c>
      <c r="H31" s="158">
        <f t="shared" si="2"/>
        <v>0</v>
      </c>
      <c r="I31" s="179"/>
      <c r="J31" s="170"/>
      <c r="K31" s="126"/>
      <c r="L31" s="126"/>
      <c r="M31" s="126"/>
    </row>
    <row r="32" spans="1:13" x14ac:dyDescent="0.25">
      <c r="A32" s="166" t="s">
        <v>20</v>
      </c>
      <c r="B32" s="177">
        <v>1</v>
      </c>
      <c r="C32" s="163" t="s">
        <v>14</v>
      </c>
      <c r="D32" s="87">
        <v>0</v>
      </c>
      <c r="E32" s="169">
        <v>0</v>
      </c>
      <c r="F32" s="158">
        <f t="shared" si="0"/>
        <v>0</v>
      </c>
      <c r="G32" s="158">
        <f t="shared" si="1"/>
        <v>0</v>
      </c>
      <c r="H32" s="158">
        <f t="shared" si="2"/>
        <v>0</v>
      </c>
      <c r="I32" s="179"/>
      <c r="J32" s="170"/>
      <c r="K32" s="126"/>
      <c r="L32" s="126"/>
      <c r="M32" s="126"/>
    </row>
    <row r="33" spans="1:13" x14ac:dyDescent="0.25">
      <c r="A33" s="184" t="s">
        <v>21</v>
      </c>
      <c r="B33" s="177">
        <v>1</v>
      </c>
      <c r="C33" s="163" t="s">
        <v>14</v>
      </c>
      <c r="D33" s="87">
        <v>0</v>
      </c>
      <c r="E33" s="169">
        <v>0</v>
      </c>
      <c r="F33" s="158">
        <f>D33*B33</f>
        <v>0</v>
      </c>
      <c r="G33" s="158">
        <f>F33*(1-E33)</f>
        <v>0</v>
      </c>
      <c r="H33" s="158">
        <f>F33*E33</f>
        <v>0</v>
      </c>
      <c r="I33" s="179"/>
      <c r="J33" s="170"/>
      <c r="K33" s="126"/>
      <c r="L33" s="126"/>
      <c r="M33" s="126"/>
    </row>
    <row r="34" spans="1:13" x14ac:dyDescent="0.25">
      <c r="A34" s="185" t="s">
        <v>40</v>
      </c>
      <c r="B34" s="177">
        <v>1</v>
      </c>
      <c r="C34" s="274" t="s">
        <v>14</v>
      </c>
      <c r="D34" s="87">
        <v>0</v>
      </c>
      <c r="E34" s="169">
        <v>0</v>
      </c>
      <c r="F34" s="158">
        <f t="shared" si="0"/>
        <v>0</v>
      </c>
      <c r="G34" s="158">
        <f t="shared" si="1"/>
        <v>0</v>
      </c>
      <c r="H34" s="158">
        <f t="shared" si="2"/>
        <v>0</v>
      </c>
      <c r="I34" s="179"/>
      <c r="J34" s="170"/>
      <c r="K34" s="126"/>
      <c r="L34" s="126"/>
      <c r="M34" s="126"/>
    </row>
    <row r="35" spans="1:13" x14ac:dyDescent="0.25">
      <c r="A35" s="185" t="s">
        <v>40</v>
      </c>
      <c r="B35" s="177">
        <v>1</v>
      </c>
      <c r="C35" s="274" t="s">
        <v>14</v>
      </c>
      <c r="D35" s="87">
        <v>0</v>
      </c>
      <c r="E35" s="169">
        <v>0</v>
      </c>
      <c r="F35" s="158">
        <f t="shared" si="0"/>
        <v>0</v>
      </c>
      <c r="G35" s="158">
        <f t="shared" si="1"/>
        <v>0</v>
      </c>
      <c r="H35" s="158">
        <f t="shared" si="2"/>
        <v>0</v>
      </c>
      <c r="I35" s="179"/>
      <c r="J35" s="170"/>
      <c r="K35" s="126"/>
      <c r="L35" s="126"/>
      <c r="M35" s="126"/>
    </row>
    <row r="36" spans="1:13" x14ac:dyDescent="0.25">
      <c r="A36" s="185" t="s">
        <v>40</v>
      </c>
      <c r="B36" s="177">
        <v>1</v>
      </c>
      <c r="C36" s="274" t="s">
        <v>14</v>
      </c>
      <c r="D36" s="87">
        <v>0</v>
      </c>
      <c r="E36" s="169">
        <v>0</v>
      </c>
      <c r="F36" s="158">
        <f t="shared" si="0"/>
        <v>0</v>
      </c>
      <c r="G36" s="158">
        <f t="shared" si="1"/>
        <v>0</v>
      </c>
      <c r="H36" s="158">
        <f t="shared" si="2"/>
        <v>0</v>
      </c>
      <c r="I36" s="179"/>
      <c r="J36" s="170"/>
      <c r="K36" s="126"/>
      <c r="L36" s="126"/>
      <c r="M36" s="126"/>
    </row>
    <row r="37" spans="1:13" x14ac:dyDescent="0.25">
      <c r="A37" s="126" t="s">
        <v>22</v>
      </c>
      <c r="B37" s="177">
        <v>1</v>
      </c>
      <c r="C37" s="163" t="s">
        <v>14</v>
      </c>
      <c r="D37" s="87">
        <v>25</v>
      </c>
      <c r="E37" s="169">
        <v>0</v>
      </c>
      <c r="F37" s="158">
        <f t="shared" si="0"/>
        <v>25</v>
      </c>
      <c r="G37" s="158">
        <f t="shared" si="1"/>
        <v>25</v>
      </c>
      <c r="H37" s="158">
        <f t="shared" si="2"/>
        <v>0</v>
      </c>
      <c r="I37" s="179"/>
      <c r="J37" s="170"/>
      <c r="K37" s="126"/>
      <c r="L37" s="126"/>
      <c r="M37" s="126"/>
    </row>
    <row r="38" spans="1:13" x14ac:dyDescent="0.25">
      <c r="A38" s="126" t="s">
        <v>140</v>
      </c>
      <c r="B38" s="186">
        <v>1.2</v>
      </c>
      <c r="C38" s="163" t="s">
        <v>23</v>
      </c>
      <c r="D38" s="173">
        <f>'Universal Input Prices'!$B$31</f>
        <v>12.45</v>
      </c>
      <c r="E38" s="169">
        <v>0</v>
      </c>
      <c r="F38" s="158">
        <f t="shared" si="0"/>
        <v>14.939999999999998</v>
      </c>
      <c r="G38" s="158">
        <f t="shared" si="1"/>
        <v>14.939999999999998</v>
      </c>
      <c r="H38" s="158">
        <f t="shared" si="2"/>
        <v>0</v>
      </c>
      <c r="I38" s="179"/>
      <c r="J38" s="170"/>
      <c r="K38" s="126"/>
      <c r="L38" s="126"/>
      <c r="M38" s="126"/>
    </row>
    <row r="39" spans="1:13" x14ac:dyDescent="0.25">
      <c r="A39" s="126" t="s">
        <v>25</v>
      </c>
      <c r="B39" s="186">
        <v>3.03</v>
      </c>
      <c r="C39" s="163" t="s">
        <v>26</v>
      </c>
      <c r="D39" s="173">
        <f>'Universal Input Prices'!$B$32</f>
        <v>1.81</v>
      </c>
      <c r="E39" s="169">
        <v>0</v>
      </c>
      <c r="F39" s="158">
        <f t="shared" si="0"/>
        <v>5.4843000000000002</v>
      </c>
      <c r="G39" s="158">
        <f t="shared" si="1"/>
        <v>5.4843000000000002</v>
      </c>
      <c r="H39" s="158">
        <f t="shared" si="2"/>
        <v>0</v>
      </c>
      <c r="I39" s="179"/>
      <c r="J39" s="170"/>
      <c r="K39" s="126"/>
      <c r="L39" s="126"/>
      <c r="M39" s="126"/>
    </row>
    <row r="40" spans="1:13" x14ac:dyDescent="0.25">
      <c r="A40" s="126" t="s">
        <v>27</v>
      </c>
      <c r="B40" s="186">
        <v>2.0307691999999999</v>
      </c>
      <c r="C40" s="163" t="s">
        <v>26</v>
      </c>
      <c r="D40" s="173">
        <f>'Universal Input Prices'!$B$33</f>
        <v>1.9259999999999999</v>
      </c>
      <c r="E40" s="169">
        <v>0</v>
      </c>
      <c r="F40" s="158">
        <f t="shared" si="0"/>
        <v>3.9112614791999998</v>
      </c>
      <c r="G40" s="158">
        <f t="shared" si="1"/>
        <v>3.9112614791999998</v>
      </c>
      <c r="H40" s="158">
        <f t="shared" si="2"/>
        <v>0</v>
      </c>
      <c r="I40" s="179"/>
      <c r="J40" s="170"/>
      <c r="K40" s="126"/>
      <c r="L40" s="126"/>
      <c r="M40" s="126"/>
    </row>
    <row r="41" spans="1:13" x14ac:dyDescent="0.25">
      <c r="A41" s="126" t="s">
        <v>30</v>
      </c>
      <c r="B41" s="164"/>
      <c r="C41" s="163"/>
      <c r="D41" s="181"/>
      <c r="E41" s="175"/>
      <c r="F41" s="158"/>
      <c r="G41" s="158"/>
      <c r="H41" s="158"/>
      <c r="I41" s="165"/>
      <c r="J41" s="165"/>
      <c r="K41" s="126"/>
      <c r="L41" s="126"/>
      <c r="M41" s="126"/>
    </row>
    <row r="42" spans="1:13" x14ac:dyDescent="0.25">
      <c r="A42" s="166" t="s">
        <v>31</v>
      </c>
      <c r="B42" s="164">
        <v>1</v>
      </c>
      <c r="C42" s="163" t="s">
        <v>14</v>
      </c>
      <c r="D42" s="87">
        <v>12.27</v>
      </c>
      <c r="E42" s="169">
        <v>0</v>
      </c>
      <c r="F42" s="158">
        <f>D42*B42</f>
        <v>12.27</v>
      </c>
      <c r="G42" s="158">
        <f>F42*(1-E42)</f>
        <v>12.27</v>
      </c>
      <c r="H42" s="158">
        <f>F42*E42</f>
        <v>0</v>
      </c>
      <c r="I42" s="179"/>
      <c r="J42" s="170"/>
      <c r="K42" s="126"/>
      <c r="L42" s="126"/>
      <c r="M42" s="126"/>
    </row>
    <row r="43" spans="1:13" x14ac:dyDescent="0.25">
      <c r="A43" s="166" t="s">
        <v>2</v>
      </c>
      <c r="B43" s="164">
        <v>1</v>
      </c>
      <c r="C43" s="163" t="s">
        <v>14</v>
      </c>
      <c r="D43" s="87">
        <v>5.52</v>
      </c>
      <c r="E43" s="169">
        <v>0</v>
      </c>
      <c r="F43" s="158">
        <f>D43*B43</f>
        <v>5.52</v>
      </c>
      <c r="G43" s="158">
        <f>F43*(1-E43)</f>
        <v>5.52</v>
      </c>
      <c r="H43" s="158">
        <f>F43*E43</f>
        <v>0</v>
      </c>
      <c r="I43" s="179"/>
      <c r="J43" s="170"/>
      <c r="K43" s="126"/>
      <c r="L43" s="126"/>
      <c r="M43" s="126"/>
    </row>
    <row r="44" spans="1:13" x14ac:dyDescent="0.25">
      <c r="A44" s="7" t="s">
        <v>203</v>
      </c>
      <c r="B44" s="164">
        <v>1</v>
      </c>
      <c r="C44" s="163" t="s">
        <v>14</v>
      </c>
      <c r="D44" s="87">
        <v>0</v>
      </c>
      <c r="E44" s="169">
        <v>0</v>
      </c>
      <c r="F44" s="158">
        <f>D44*B44</f>
        <v>0</v>
      </c>
      <c r="G44" s="158">
        <f>F44*(1-E44)</f>
        <v>0</v>
      </c>
      <c r="H44" s="158">
        <f>F44*E44</f>
        <v>0</v>
      </c>
      <c r="I44" s="179"/>
      <c r="J44" s="170"/>
      <c r="K44" s="126"/>
      <c r="L44" s="126"/>
      <c r="M44" s="126"/>
    </row>
    <row r="45" spans="1:13" x14ac:dyDescent="0.25">
      <c r="A45" s="7" t="s">
        <v>204</v>
      </c>
      <c r="B45" s="164">
        <v>1</v>
      </c>
      <c r="C45" s="163" t="s">
        <v>14</v>
      </c>
      <c r="D45" s="87">
        <v>0</v>
      </c>
      <c r="E45" s="169">
        <v>0</v>
      </c>
      <c r="F45" s="158">
        <f>D45*B45</f>
        <v>0</v>
      </c>
      <c r="G45" s="158">
        <f>F45*(1-E45)</f>
        <v>0</v>
      </c>
      <c r="H45" s="158">
        <f>F45*E45</f>
        <v>0</v>
      </c>
      <c r="I45" s="179"/>
      <c r="J45" s="170"/>
      <c r="K45" s="126"/>
      <c r="L45" s="126"/>
      <c r="M45" s="126"/>
    </row>
    <row r="46" spans="1:13" x14ac:dyDescent="0.25">
      <c r="A46" s="166" t="s">
        <v>33</v>
      </c>
      <c r="B46" s="164">
        <v>1</v>
      </c>
      <c r="C46" s="163" t="s">
        <v>14</v>
      </c>
      <c r="D46" s="87">
        <v>2.4900000000000002</v>
      </c>
      <c r="E46" s="169">
        <v>0</v>
      </c>
      <c r="F46" s="158">
        <f>D46*B46</f>
        <v>2.4900000000000002</v>
      </c>
      <c r="G46" s="158">
        <f>F46*(1-E46)</f>
        <v>2.4900000000000002</v>
      </c>
      <c r="H46" s="158">
        <f>F46*E46</f>
        <v>0</v>
      </c>
      <c r="I46" s="179"/>
      <c r="J46" s="170"/>
      <c r="K46" s="126"/>
      <c r="L46" s="126"/>
      <c r="M46" s="126"/>
    </row>
    <row r="47" spans="1:13" x14ac:dyDescent="0.25">
      <c r="A47" s="126" t="s">
        <v>34</v>
      </c>
      <c r="B47" s="89">
        <f>'Universal Input Prices'!$B$35</f>
        <v>5.3999999999999999E-2</v>
      </c>
      <c r="C47" s="163"/>
      <c r="D47" s="187"/>
      <c r="E47" s="175"/>
      <c r="F47" s="158">
        <f>(SUM(F17:F28,F32:F46))*$B47/1.8</f>
        <v>5.7127427641084418</v>
      </c>
      <c r="G47" s="158">
        <f>(SUM(G17:G28,G32:G46))*$B47/2</f>
        <v>5.1414684876975976</v>
      </c>
      <c r="H47" s="158">
        <f>(SUM(H17:H28,H32:H46))*$B47/2</f>
        <v>0</v>
      </c>
      <c r="I47" s="179"/>
      <c r="J47" s="170"/>
      <c r="K47" s="126"/>
      <c r="L47" s="126"/>
      <c r="M47" s="126"/>
    </row>
    <row r="48" spans="1:13" x14ac:dyDescent="0.25">
      <c r="A48" s="126"/>
      <c r="B48" s="188"/>
      <c r="C48" s="163"/>
      <c r="D48" s="170"/>
      <c r="E48" s="175"/>
      <c r="F48" s="158"/>
      <c r="G48" s="158"/>
      <c r="H48" s="158"/>
      <c r="I48" s="165"/>
      <c r="J48" s="165"/>
      <c r="K48" s="126"/>
      <c r="L48" s="126"/>
      <c r="M48" s="126"/>
    </row>
    <row r="49" spans="1:13" x14ac:dyDescent="0.25">
      <c r="A49" s="4" t="s">
        <v>205</v>
      </c>
      <c r="B49" s="188"/>
      <c r="C49" s="163"/>
      <c r="D49" s="170"/>
      <c r="E49" s="175"/>
      <c r="F49" s="158">
        <f>SUM(F17:F47)</f>
        <v>290.14245206277263</v>
      </c>
      <c r="G49" s="158">
        <f>SUM(G17:G47)</f>
        <v>289.57117778636177</v>
      </c>
      <c r="H49" s="158">
        <f>SUM(H17:H47)</f>
        <v>0</v>
      </c>
      <c r="I49" s="189"/>
      <c r="J49" s="170"/>
      <c r="K49" s="126"/>
      <c r="L49" s="126"/>
      <c r="M49" s="126"/>
    </row>
    <row r="50" spans="1:13" ht="13.8" x14ac:dyDescent="0.25">
      <c r="A50" s="12" t="s">
        <v>206</v>
      </c>
      <c r="B50" s="188"/>
      <c r="C50" s="163"/>
      <c r="D50" s="170"/>
      <c r="E50" s="175"/>
      <c r="F50" s="191">
        <f>F13-F49</f>
        <v>29.857547937227366</v>
      </c>
      <c r="G50" s="191">
        <f>G13-G49</f>
        <v>30.428822213638227</v>
      </c>
      <c r="H50" s="191">
        <f>H13-H49</f>
        <v>0</v>
      </c>
      <c r="I50" s="189"/>
      <c r="J50" s="170"/>
      <c r="K50" s="126"/>
      <c r="L50" s="126"/>
      <c r="M50" s="126"/>
    </row>
    <row r="51" spans="1:13" x14ac:dyDescent="0.25">
      <c r="A51" s="4"/>
      <c r="B51" s="188"/>
      <c r="C51" s="163"/>
      <c r="D51" s="170"/>
      <c r="E51" s="175"/>
      <c r="F51" s="158"/>
      <c r="G51" s="158"/>
      <c r="H51" s="158"/>
      <c r="I51" s="189"/>
      <c r="J51" s="170"/>
      <c r="K51" s="126"/>
      <c r="L51" s="126"/>
      <c r="M51" s="126"/>
    </row>
    <row r="52" spans="1:13" x14ac:dyDescent="0.25">
      <c r="A52" s="4" t="s">
        <v>208</v>
      </c>
      <c r="B52" s="188"/>
      <c r="C52" s="163"/>
      <c r="D52" s="170"/>
      <c r="E52" s="175"/>
      <c r="F52" s="158"/>
      <c r="G52" s="158"/>
      <c r="H52" s="158"/>
      <c r="I52" s="189"/>
      <c r="J52" s="165"/>
      <c r="K52" s="126"/>
      <c r="L52" s="126"/>
      <c r="M52" s="126"/>
    </row>
    <row r="53" spans="1:13" x14ac:dyDescent="0.25">
      <c r="A53" s="166" t="s">
        <v>31</v>
      </c>
      <c r="B53" s="164">
        <v>1</v>
      </c>
      <c r="C53" s="163" t="s">
        <v>14</v>
      </c>
      <c r="D53" s="87">
        <v>18.920000000000002</v>
      </c>
      <c r="E53" s="169">
        <v>0</v>
      </c>
      <c r="F53" s="158">
        <f t="shared" ref="F53:F61" si="3">D53*B53</f>
        <v>18.920000000000002</v>
      </c>
      <c r="G53" s="158">
        <f t="shared" ref="G53:G61" si="4">F53*(1-E53)</f>
        <v>18.920000000000002</v>
      </c>
      <c r="H53" s="158">
        <f t="shared" ref="H53:H61" si="5">F53*E53</f>
        <v>0</v>
      </c>
      <c r="I53" s="179"/>
      <c r="J53" s="170"/>
      <c r="K53" s="126"/>
      <c r="L53" s="126"/>
      <c r="M53" s="126"/>
    </row>
    <row r="54" spans="1:13" x14ac:dyDescent="0.25">
      <c r="A54" s="166" t="s">
        <v>2</v>
      </c>
      <c r="B54" s="164">
        <v>1</v>
      </c>
      <c r="C54" s="163" t="s">
        <v>14</v>
      </c>
      <c r="D54" s="87">
        <v>7.55</v>
      </c>
      <c r="E54" s="169">
        <v>0</v>
      </c>
      <c r="F54" s="158">
        <f t="shared" si="3"/>
        <v>7.55</v>
      </c>
      <c r="G54" s="158">
        <f t="shared" si="4"/>
        <v>7.55</v>
      </c>
      <c r="H54" s="158">
        <f t="shared" si="5"/>
        <v>0</v>
      </c>
      <c r="I54" s="179"/>
      <c r="J54" s="170"/>
      <c r="K54" s="126"/>
      <c r="L54" s="126"/>
      <c r="M54" s="126"/>
    </row>
    <row r="55" spans="1:13" x14ac:dyDescent="0.25">
      <c r="A55" s="7" t="s">
        <v>203</v>
      </c>
      <c r="B55" s="164">
        <v>1</v>
      </c>
      <c r="C55" s="163" t="s">
        <v>14</v>
      </c>
      <c r="D55" s="87">
        <v>0</v>
      </c>
      <c r="E55" s="169">
        <v>0</v>
      </c>
      <c r="F55" s="158">
        <f t="shared" si="3"/>
        <v>0</v>
      </c>
      <c r="G55" s="158">
        <f t="shared" si="4"/>
        <v>0</v>
      </c>
      <c r="H55" s="158">
        <f t="shared" si="5"/>
        <v>0</v>
      </c>
      <c r="I55" s="179"/>
      <c r="J55" s="170"/>
      <c r="K55" s="126"/>
      <c r="L55" s="126"/>
      <c r="M55" s="126"/>
    </row>
    <row r="56" spans="1:13" x14ac:dyDescent="0.25">
      <c r="A56" s="7" t="s">
        <v>204</v>
      </c>
      <c r="B56" s="164">
        <v>1</v>
      </c>
      <c r="C56" s="163" t="s">
        <v>14</v>
      </c>
      <c r="D56" s="87">
        <v>0</v>
      </c>
      <c r="E56" s="169">
        <v>0</v>
      </c>
      <c r="F56" s="158">
        <f t="shared" si="3"/>
        <v>0</v>
      </c>
      <c r="G56" s="158">
        <f t="shared" si="4"/>
        <v>0</v>
      </c>
      <c r="H56" s="158">
        <f t="shared" si="5"/>
        <v>0</v>
      </c>
      <c r="I56" s="179"/>
      <c r="J56" s="170"/>
      <c r="K56" s="126"/>
      <c r="L56" s="126"/>
      <c r="M56" s="126"/>
    </row>
    <row r="57" spans="1:13" x14ac:dyDescent="0.25">
      <c r="A57" s="166" t="s">
        <v>33</v>
      </c>
      <c r="B57" s="164">
        <v>1</v>
      </c>
      <c r="C57" s="163" t="s">
        <v>14</v>
      </c>
      <c r="D57" s="87">
        <v>3.63</v>
      </c>
      <c r="E57" s="169">
        <v>0</v>
      </c>
      <c r="F57" s="158">
        <f t="shared" si="3"/>
        <v>3.63</v>
      </c>
      <c r="G57" s="158">
        <f t="shared" si="4"/>
        <v>3.63</v>
      </c>
      <c r="H57" s="158">
        <f t="shared" si="5"/>
        <v>0</v>
      </c>
      <c r="I57" s="179"/>
      <c r="J57" s="170"/>
      <c r="K57" s="126"/>
      <c r="L57" s="126"/>
      <c r="M57" s="126"/>
    </row>
    <row r="58" spans="1:13" x14ac:dyDescent="0.25">
      <c r="A58" s="166" t="s">
        <v>35</v>
      </c>
      <c r="B58" s="164">
        <v>1</v>
      </c>
      <c r="C58" s="163" t="s">
        <v>14</v>
      </c>
      <c r="D58" s="87">
        <v>0</v>
      </c>
      <c r="E58" s="169">
        <v>0</v>
      </c>
      <c r="F58" s="158">
        <f t="shared" si="3"/>
        <v>0</v>
      </c>
      <c r="G58" s="158">
        <f t="shared" si="4"/>
        <v>0</v>
      </c>
      <c r="H58" s="158">
        <f t="shared" si="5"/>
        <v>0</v>
      </c>
      <c r="I58" s="179"/>
      <c r="J58" s="170"/>
      <c r="K58" s="126"/>
      <c r="L58" s="126"/>
      <c r="M58" s="126"/>
    </row>
    <row r="59" spans="1:13" x14ac:dyDescent="0.25">
      <c r="A59" s="166" t="s">
        <v>41</v>
      </c>
      <c r="B59" s="164">
        <v>1</v>
      </c>
      <c r="C59" s="163" t="s">
        <v>14</v>
      </c>
      <c r="D59" s="87">
        <v>0</v>
      </c>
      <c r="E59" s="169">
        <v>0</v>
      </c>
      <c r="F59" s="158">
        <f t="shared" si="3"/>
        <v>0</v>
      </c>
      <c r="G59" s="158">
        <f t="shared" si="4"/>
        <v>0</v>
      </c>
      <c r="H59" s="158">
        <f t="shared" si="5"/>
        <v>0</v>
      </c>
      <c r="I59" s="192"/>
      <c r="J59" s="170"/>
      <c r="K59" s="126"/>
      <c r="L59" s="126"/>
      <c r="M59" s="126"/>
    </row>
    <row r="60" spans="1:13" x14ac:dyDescent="0.25">
      <c r="A60" s="166" t="s">
        <v>36</v>
      </c>
      <c r="B60" s="193">
        <v>1</v>
      </c>
      <c r="C60" s="163" t="s">
        <v>14</v>
      </c>
      <c r="D60" s="87">
        <v>26.5</v>
      </c>
      <c r="E60" s="169">
        <v>0</v>
      </c>
      <c r="F60" s="158">
        <f t="shared" si="3"/>
        <v>26.5</v>
      </c>
      <c r="G60" s="158">
        <f>IF($H$6="Cash",D60,F60*(1-E60))</f>
        <v>26.5</v>
      </c>
      <c r="H60" s="158">
        <f>IF($H$6="Cash",0,F60*E60)</f>
        <v>0</v>
      </c>
      <c r="I60" s="179"/>
      <c r="J60" s="170"/>
      <c r="K60" s="126"/>
      <c r="L60" s="126"/>
      <c r="M60" s="126"/>
    </row>
    <row r="61" spans="1:13" x14ac:dyDescent="0.25">
      <c r="A61" s="166" t="s">
        <v>42</v>
      </c>
      <c r="B61" s="193">
        <v>1</v>
      </c>
      <c r="C61" s="163" t="s">
        <v>14</v>
      </c>
      <c r="D61" s="87">
        <v>0</v>
      </c>
      <c r="E61" s="169">
        <v>0</v>
      </c>
      <c r="F61" s="158">
        <f t="shared" si="3"/>
        <v>0</v>
      </c>
      <c r="G61" s="158">
        <f t="shared" si="4"/>
        <v>0</v>
      </c>
      <c r="H61" s="158">
        <f t="shared" si="5"/>
        <v>0</v>
      </c>
      <c r="I61" s="192"/>
      <c r="J61" s="170"/>
      <c r="K61" s="126"/>
      <c r="L61" s="126"/>
      <c r="M61" s="126"/>
    </row>
    <row r="62" spans="1:13" x14ac:dyDescent="0.25">
      <c r="A62" s="126" t="s">
        <v>37</v>
      </c>
      <c r="B62" s="164"/>
      <c r="C62" s="163"/>
      <c r="D62" s="188"/>
      <c r="E62" s="188"/>
      <c r="F62" s="158">
        <f>SUM(F53:F61)</f>
        <v>56.6</v>
      </c>
      <c r="G62" s="158">
        <f>SUM(G53:G61)</f>
        <v>56.6</v>
      </c>
      <c r="H62" s="158">
        <f>SUM(H53:H61)</f>
        <v>0</v>
      </c>
      <c r="I62" s="165"/>
      <c r="J62" s="170"/>
      <c r="K62" s="126"/>
      <c r="L62" s="126"/>
      <c r="M62" s="126"/>
    </row>
    <row r="63" spans="1:13" x14ac:dyDescent="0.25">
      <c r="A63" s="126" t="s">
        <v>38</v>
      </c>
      <c r="B63" s="164"/>
      <c r="C63" s="163"/>
      <c r="D63" s="188"/>
      <c r="E63" s="188"/>
      <c r="F63" s="158">
        <f>F49+F62</f>
        <v>346.74245206277266</v>
      </c>
      <c r="G63" s="158">
        <f>G49+G62</f>
        <v>346.1711777863618</v>
      </c>
      <c r="H63" s="158">
        <f>H49+H62</f>
        <v>0</v>
      </c>
      <c r="I63" s="165"/>
      <c r="J63" s="170"/>
      <c r="K63" s="126"/>
      <c r="L63" s="126"/>
      <c r="M63" s="126"/>
    </row>
    <row r="64" spans="1:13" ht="13.8" x14ac:dyDescent="0.25">
      <c r="A64" s="190" t="s">
        <v>39</v>
      </c>
      <c r="B64" s="164"/>
      <c r="C64" s="163"/>
      <c r="D64" s="188"/>
      <c r="E64" s="188"/>
      <c r="F64" s="191">
        <f>F13-F63</f>
        <v>-26.742452062772657</v>
      </c>
      <c r="G64" s="191">
        <f>G13-G63</f>
        <v>-26.171177786361795</v>
      </c>
      <c r="H64" s="191">
        <f>H13-H63</f>
        <v>0</v>
      </c>
      <c r="I64" s="165"/>
      <c r="J64" s="170"/>
      <c r="K64" s="126"/>
      <c r="L64" s="126"/>
      <c r="M64" s="126"/>
    </row>
    <row r="65" spans="1:13" x14ac:dyDescent="0.25">
      <c r="A65" s="126"/>
      <c r="B65" s="164"/>
      <c r="C65" s="163"/>
      <c r="D65" s="188"/>
      <c r="E65" s="188"/>
      <c r="F65" s="170"/>
      <c r="G65" s="170"/>
      <c r="H65" s="170"/>
      <c r="I65" s="165"/>
      <c r="J65" s="170"/>
      <c r="K65" s="126"/>
      <c r="L65" s="126"/>
      <c r="M65" s="126"/>
    </row>
    <row r="66" spans="1:13" ht="13.8" x14ac:dyDescent="0.25">
      <c r="A66" s="194" t="s">
        <v>161</v>
      </c>
      <c r="B66" s="194"/>
      <c r="C66" s="275"/>
      <c r="D66" s="194"/>
      <c r="E66" s="195"/>
      <c r="F66" s="196">
        <f>(F64/F63)</f>
        <v>-7.7124828251290453E-2</v>
      </c>
      <c r="G66" s="196">
        <f t="shared" ref="G66:H66" si="6">(G64/G63)</f>
        <v>-7.5601839395517886E-2</v>
      </c>
      <c r="H66" s="196" t="e">
        <f t="shared" si="6"/>
        <v>#DIV/0!</v>
      </c>
      <c r="I66" s="126"/>
      <c r="J66" s="126"/>
      <c r="K66" s="126"/>
      <c r="L66" s="126"/>
      <c r="M66" s="126"/>
    </row>
    <row r="67" spans="1:13" x14ac:dyDescent="0.25">
      <c r="B67" s="162"/>
      <c r="C67" s="276"/>
      <c r="D67" s="197"/>
      <c r="E67" s="197"/>
      <c r="F67" s="131"/>
      <c r="G67" s="131"/>
      <c r="H67" s="131"/>
      <c r="I67" s="171"/>
      <c r="J67" s="131"/>
      <c r="K67" s="126"/>
      <c r="L67" s="126"/>
      <c r="M67" s="126"/>
    </row>
    <row r="68" spans="1:13" x14ac:dyDescent="0.25">
      <c r="C68" s="126"/>
      <c r="D68" s="126"/>
      <c r="E68" s="126"/>
      <c r="F68" s="126"/>
      <c r="G68" s="126"/>
      <c r="H68" s="126"/>
      <c r="I68" s="126"/>
      <c r="J68" s="126"/>
      <c r="K68" s="126"/>
      <c r="L68" s="126"/>
      <c r="M68" s="126"/>
    </row>
    <row r="69" spans="1:13" x14ac:dyDescent="0.25">
      <c r="C69" s="126"/>
      <c r="D69" s="126"/>
      <c r="E69" s="126"/>
      <c r="F69" s="126"/>
      <c r="G69" s="126"/>
      <c r="H69" s="126"/>
      <c r="I69" s="126"/>
      <c r="J69" s="126"/>
      <c r="K69" s="126"/>
      <c r="L69" s="126"/>
      <c r="M69" s="126"/>
    </row>
    <row r="70" spans="1:13" x14ac:dyDescent="0.25">
      <c r="C70" s="126"/>
      <c r="D70" s="126"/>
      <c r="E70" s="126"/>
      <c r="F70" s="126"/>
      <c r="G70" s="126"/>
      <c r="H70" s="126"/>
      <c r="I70" s="126"/>
      <c r="J70" s="126"/>
      <c r="K70" s="126"/>
      <c r="L70" s="126"/>
      <c r="M70" s="126"/>
    </row>
    <row r="71" spans="1:13" x14ac:dyDescent="0.25">
      <c r="C71" s="126"/>
      <c r="D71" s="126"/>
      <c r="E71" s="126"/>
      <c r="F71" s="126"/>
      <c r="G71" s="126"/>
      <c r="H71" s="126"/>
      <c r="I71" s="126"/>
      <c r="J71" s="126"/>
      <c r="K71" s="126"/>
      <c r="L71" s="126"/>
      <c r="M71" s="126"/>
    </row>
    <row r="72" spans="1:13" x14ac:dyDescent="0.25">
      <c r="C72" s="126"/>
      <c r="D72" s="126"/>
      <c r="E72" s="126"/>
      <c r="F72" s="126"/>
      <c r="G72" s="126"/>
      <c r="H72" s="126"/>
      <c r="I72" s="126"/>
      <c r="J72" s="126"/>
      <c r="K72" s="126"/>
      <c r="L72" s="126"/>
      <c r="M72" s="126"/>
    </row>
    <row r="73" spans="1:13" x14ac:dyDescent="0.25">
      <c r="C73" s="126"/>
      <c r="D73" s="126"/>
      <c r="E73" s="126"/>
      <c r="F73" s="126"/>
      <c r="G73" s="126"/>
      <c r="H73" s="126"/>
      <c r="I73" s="126"/>
      <c r="J73" s="126"/>
      <c r="K73" s="126"/>
      <c r="L73" s="126"/>
      <c r="M73" s="126"/>
    </row>
    <row r="74" spans="1:13" x14ac:dyDescent="0.25">
      <c r="C74" s="126"/>
      <c r="D74" s="126"/>
      <c r="E74" s="126"/>
      <c r="F74" s="126"/>
      <c r="G74" s="126"/>
      <c r="H74" s="126"/>
      <c r="I74" s="126"/>
      <c r="J74" s="126"/>
      <c r="K74" s="126"/>
      <c r="L74" s="126"/>
      <c r="M74" s="126"/>
    </row>
    <row r="75" spans="1:13" x14ac:dyDescent="0.25">
      <c r="K75" s="126"/>
      <c r="L75" s="126"/>
      <c r="M75" s="126"/>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20:A22">
      <formula1>Fert_Names</formula1>
    </dataValidation>
  </dataValidations>
  <printOptions horizontalCentered="1"/>
  <pageMargins left="0.25" right="0.25" top="0.75" bottom="0.75" header="0.3" footer="0.3"/>
  <pageSetup scale="76"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1">
    <pageSetUpPr fitToPage="1"/>
  </sheetPr>
  <dimension ref="A1:R69"/>
  <sheetViews>
    <sheetView showGridLines="0" showRowColHeaders="0" zoomScale="90" zoomScaleNormal="90" workbookViewId="0">
      <pane ySplit="7" topLeftCell="A19" activePane="bottomLeft" state="frozen"/>
      <selection activeCell="B9" sqref="B9"/>
      <selection pane="bottomLeft" activeCell="E29" sqref="E29"/>
    </sheetView>
  </sheetViews>
  <sheetFormatPr defaultRowHeight="13.2" x14ac:dyDescent="0.25"/>
  <cols>
    <col min="1" max="1" width="35.5546875" customWidth="1"/>
    <col min="2" max="8" width="10.5546875" customWidth="1"/>
  </cols>
  <sheetData>
    <row r="1" spans="1:18" ht="32.25" customHeight="1" x14ac:dyDescent="0.25">
      <c r="A1" s="126"/>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117</v>
      </c>
      <c r="B3" s="319"/>
      <c r="C3" s="319"/>
      <c r="D3" s="319"/>
      <c r="E3" s="319"/>
      <c r="F3" s="319"/>
      <c r="G3" s="319"/>
      <c r="H3" s="319"/>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53" t="s">
        <v>4</v>
      </c>
      <c r="C6" s="53" t="s">
        <v>5</v>
      </c>
      <c r="D6" s="53" t="s">
        <v>6</v>
      </c>
      <c r="E6" s="53" t="s">
        <v>53</v>
      </c>
      <c r="F6" s="244"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5"/>
      <c r="D8" s="5"/>
      <c r="E8" s="5"/>
      <c r="F8" s="5"/>
      <c r="G8" s="5"/>
      <c r="H8" s="5"/>
    </row>
    <row r="9" spans="1:18" x14ac:dyDescent="0.25">
      <c r="A9" s="7" t="s">
        <v>90</v>
      </c>
      <c r="B9" s="23">
        <v>25</v>
      </c>
      <c r="C9" s="128" t="s">
        <v>54</v>
      </c>
      <c r="D9" s="55">
        <f>'Universal Input Prices'!$B$11</f>
        <v>5.75</v>
      </c>
      <c r="E9" s="34">
        <v>0</v>
      </c>
      <c r="F9" s="39">
        <f>B9*D9</f>
        <v>143.75</v>
      </c>
      <c r="G9" s="39">
        <f>F9*(1-E9)</f>
        <v>143.75</v>
      </c>
      <c r="H9" s="39">
        <f>IF(H6="Cash", D54,F9*E9)</f>
        <v>0</v>
      </c>
    </row>
    <row r="10" spans="1:18" x14ac:dyDescent="0.25">
      <c r="A10" s="7" t="s">
        <v>263</v>
      </c>
      <c r="B10" s="47">
        <v>0</v>
      </c>
      <c r="C10" s="119" t="s">
        <v>264</v>
      </c>
      <c r="D10" s="55">
        <v>1</v>
      </c>
      <c r="E10" s="34">
        <v>0</v>
      </c>
      <c r="F10" s="39">
        <f>D10*B10</f>
        <v>0</v>
      </c>
      <c r="G10" s="39">
        <f>F10*(1-E10)</f>
        <v>0</v>
      </c>
      <c r="H10" s="39">
        <f>IF(H7="Cash", D58,F10*E10)</f>
        <v>0</v>
      </c>
      <c r="I10" s="4"/>
    </row>
    <row r="11" spans="1:18" x14ac:dyDescent="0.25">
      <c r="A11" s="9"/>
      <c r="B11" s="21"/>
      <c r="C11" s="264"/>
      <c r="D11" s="8"/>
      <c r="E11" s="36"/>
      <c r="F11" s="39"/>
      <c r="G11" s="39"/>
      <c r="H11" s="39"/>
    </row>
    <row r="12" spans="1:18" x14ac:dyDescent="0.25">
      <c r="A12" s="4" t="s">
        <v>12</v>
      </c>
      <c r="B12" s="5"/>
      <c r="C12" s="119"/>
      <c r="D12" s="8"/>
      <c r="E12" s="36"/>
      <c r="F12" s="39">
        <f>SUM(F9:F11)</f>
        <v>143.75</v>
      </c>
      <c r="G12" s="39">
        <f>SUM(G9:G11)</f>
        <v>143.75</v>
      </c>
      <c r="H12" s="39">
        <f>SUM(H9:H11)</f>
        <v>0</v>
      </c>
    </row>
    <row r="13" spans="1:18" x14ac:dyDescent="0.25">
      <c r="A13" s="4"/>
      <c r="B13" s="5"/>
      <c r="C13" s="119"/>
      <c r="D13" s="8"/>
      <c r="E13" s="36"/>
      <c r="F13" s="39"/>
      <c r="G13" s="39"/>
      <c r="H13" s="39"/>
    </row>
    <row r="14" spans="1:18" x14ac:dyDescent="0.25">
      <c r="A14" s="4" t="s">
        <v>207</v>
      </c>
      <c r="B14" s="5"/>
      <c r="C14" s="119"/>
      <c r="D14" s="8"/>
      <c r="E14" s="36"/>
      <c r="F14" s="39"/>
      <c r="G14" s="39"/>
      <c r="H14" s="39"/>
    </row>
    <row r="15" spans="1:18" x14ac:dyDescent="0.25">
      <c r="A15" s="4" t="s">
        <v>1</v>
      </c>
      <c r="B15" s="28">
        <v>2.25</v>
      </c>
      <c r="C15" s="119" t="s">
        <v>79</v>
      </c>
      <c r="D15" s="13">
        <v>1.85</v>
      </c>
      <c r="E15" s="34">
        <v>0</v>
      </c>
      <c r="F15" s="39">
        <f>D15*B15</f>
        <v>4.1625000000000005</v>
      </c>
      <c r="G15" s="39">
        <f>F15*(1-E15)</f>
        <v>4.1625000000000005</v>
      </c>
      <c r="H15" s="39">
        <f>F15*E15</f>
        <v>0</v>
      </c>
    </row>
    <row r="16" spans="1:18" x14ac:dyDescent="0.25">
      <c r="A16" s="4" t="s">
        <v>0</v>
      </c>
      <c r="B16" s="26"/>
      <c r="C16" s="119"/>
      <c r="D16" s="15"/>
      <c r="E16" s="36"/>
      <c r="F16" s="39"/>
      <c r="G16" s="39"/>
      <c r="H16" s="39"/>
    </row>
    <row r="17" spans="1:9" x14ac:dyDescent="0.25">
      <c r="A17" s="302" t="s">
        <v>255</v>
      </c>
      <c r="B17" s="24">
        <v>30</v>
      </c>
      <c r="C17" s="119" t="s">
        <v>79</v>
      </c>
      <c r="D17" s="54">
        <f>IF(A17="",0,VLOOKUP(A17,'Universal Input Prices'!$A$26:$B$30, 2))</f>
        <v>0.25000000000000006</v>
      </c>
      <c r="E17" s="34">
        <v>0</v>
      </c>
      <c r="F17" s="39">
        <f>D17*B17</f>
        <v>7.5000000000000018</v>
      </c>
      <c r="G17" s="39">
        <f>F17*(1-E17)</f>
        <v>7.5000000000000018</v>
      </c>
      <c r="H17" s="39">
        <f>F17*E17</f>
        <v>0</v>
      </c>
    </row>
    <row r="18" spans="1:9" x14ac:dyDescent="0.25">
      <c r="A18" s="302"/>
      <c r="B18" s="24">
        <v>0</v>
      </c>
      <c r="C18" s="119" t="s">
        <v>79</v>
      </c>
      <c r="D18" s="54">
        <f>IF(A18="",0,VLOOKUP(A18,'Universal Input Prices'!$A$26:$B$30, 2))</f>
        <v>0</v>
      </c>
      <c r="E18" s="34">
        <v>0</v>
      </c>
      <c r="F18" s="39">
        <f>D18*B18</f>
        <v>0</v>
      </c>
      <c r="G18" s="39">
        <f>F18*(1-E18)</f>
        <v>0</v>
      </c>
      <c r="H18" s="39">
        <f>F18*E18</f>
        <v>0</v>
      </c>
      <c r="I18" s="4"/>
    </row>
    <row r="19" spans="1:9" x14ac:dyDescent="0.25">
      <c r="A19" s="302"/>
      <c r="B19" s="24">
        <v>0</v>
      </c>
      <c r="C19" s="119" t="s">
        <v>79</v>
      </c>
      <c r="D19" s="54">
        <f>IF(A19="",0,VLOOKUP(A19,'Universal Input Prices'!$A$26:$B$30, 2))</f>
        <v>0</v>
      </c>
      <c r="E19" s="34">
        <v>0</v>
      </c>
      <c r="F19" s="39">
        <f>D19*B19</f>
        <v>0</v>
      </c>
      <c r="G19" s="39">
        <f>F19*(1-E19)</f>
        <v>0</v>
      </c>
      <c r="H19" s="39">
        <f>F19*E19</f>
        <v>0</v>
      </c>
      <c r="I19" s="4"/>
    </row>
    <row r="20" spans="1:9" x14ac:dyDescent="0.25">
      <c r="A20" s="4" t="s">
        <v>15</v>
      </c>
      <c r="B20" s="27"/>
      <c r="C20" s="119"/>
      <c r="D20" s="8"/>
      <c r="E20" s="36"/>
      <c r="F20" s="39"/>
      <c r="G20" s="39"/>
      <c r="H20" s="39"/>
    </row>
    <row r="21" spans="1:9" x14ac:dyDescent="0.25">
      <c r="A21" s="2" t="s">
        <v>236</v>
      </c>
      <c r="B21" s="24">
        <v>1</v>
      </c>
      <c r="C21" s="119" t="s">
        <v>14</v>
      </c>
      <c r="D21" s="14">
        <v>19.2</v>
      </c>
      <c r="E21" s="34">
        <v>0</v>
      </c>
      <c r="F21" s="39">
        <f t="shared" ref="F21:F34" si="0">D21*B21</f>
        <v>19.2</v>
      </c>
      <c r="G21" s="39">
        <f t="shared" ref="G21:G34" si="1">F21*(1-E21)</f>
        <v>19.2</v>
      </c>
      <c r="H21" s="39">
        <f t="shared" ref="H21:H34" si="2">F21*E21</f>
        <v>0</v>
      </c>
    </row>
    <row r="22" spans="1:9" x14ac:dyDescent="0.25">
      <c r="A22" s="2" t="s">
        <v>43</v>
      </c>
      <c r="B22" s="24">
        <v>1</v>
      </c>
      <c r="C22" s="119" t="s">
        <v>14</v>
      </c>
      <c r="D22" s="14">
        <v>15</v>
      </c>
      <c r="E22" s="34">
        <v>0</v>
      </c>
      <c r="F22" s="39">
        <f t="shared" si="0"/>
        <v>15</v>
      </c>
      <c r="G22" s="39">
        <f t="shared" si="1"/>
        <v>15</v>
      </c>
      <c r="H22" s="39">
        <f t="shared" si="2"/>
        <v>0</v>
      </c>
    </row>
    <row r="23" spans="1:9" x14ac:dyDescent="0.25">
      <c r="A23" s="2" t="s">
        <v>280</v>
      </c>
      <c r="B23" s="24">
        <v>0.67</v>
      </c>
      <c r="C23" s="119" t="s">
        <v>14</v>
      </c>
      <c r="D23" s="14">
        <v>9.8000000000000007</v>
      </c>
      <c r="E23" s="34">
        <v>0</v>
      </c>
      <c r="F23" s="39">
        <f t="shared" si="0"/>
        <v>6.5660000000000007</v>
      </c>
      <c r="G23" s="39">
        <f t="shared" si="1"/>
        <v>6.5660000000000007</v>
      </c>
      <c r="H23" s="39">
        <f t="shared" si="2"/>
        <v>0</v>
      </c>
    </row>
    <row r="24" spans="1:9" x14ac:dyDescent="0.25">
      <c r="A24" s="2" t="s">
        <v>47</v>
      </c>
      <c r="B24" s="27">
        <v>1</v>
      </c>
      <c r="C24" s="119" t="s">
        <v>14</v>
      </c>
      <c r="D24" s="14">
        <v>25</v>
      </c>
      <c r="E24" s="34">
        <v>0</v>
      </c>
      <c r="F24" s="39">
        <f t="shared" si="0"/>
        <v>25</v>
      </c>
      <c r="G24" s="39">
        <f t="shared" si="1"/>
        <v>25</v>
      </c>
      <c r="H24" s="39">
        <f t="shared" si="2"/>
        <v>0</v>
      </c>
    </row>
    <row r="25" spans="1:9" x14ac:dyDescent="0.25">
      <c r="A25" s="2" t="s">
        <v>47</v>
      </c>
      <c r="B25" s="27">
        <f>B9</f>
        <v>25</v>
      </c>
      <c r="C25" s="119" t="s">
        <v>54</v>
      </c>
      <c r="D25" s="14">
        <v>0.25</v>
      </c>
      <c r="E25" s="34">
        <v>0</v>
      </c>
      <c r="F25" s="39">
        <f>D25*B25</f>
        <v>6.25</v>
      </c>
      <c r="G25" s="39">
        <f t="shared" si="1"/>
        <v>6.25</v>
      </c>
      <c r="H25" s="39">
        <f t="shared" si="2"/>
        <v>0</v>
      </c>
    </row>
    <row r="26" spans="1:9" x14ac:dyDescent="0.25">
      <c r="A26" s="7" t="s">
        <v>20</v>
      </c>
      <c r="B26" s="24">
        <v>1</v>
      </c>
      <c r="C26" s="119" t="s">
        <v>14</v>
      </c>
      <c r="D26" s="14">
        <v>0</v>
      </c>
      <c r="E26" s="34">
        <v>0</v>
      </c>
      <c r="F26" s="39">
        <f t="shared" si="0"/>
        <v>0</v>
      </c>
      <c r="G26" s="39">
        <f t="shared" si="1"/>
        <v>0</v>
      </c>
      <c r="H26" s="39">
        <f t="shared" si="2"/>
        <v>0</v>
      </c>
    </row>
    <row r="27" spans="1:9" x14ac:dyDescent="0.25">
      <c r="A27" s="2" t="s">
        <v>21</v>
      </c>
      <c r="B27" s="24">
        <v>1</v>
      </c>
      <c r="C27" s="119" t="s">
        <v>14</v>
      </c>
      <c r="D27" s="14">
        <v>0</v>
      </c>
      <c r="E27" s="34">
        <v>0</v>
      </c>
      <c r="F27" s="39">
        <f>D27*B27</f>
        <v>0</v>
      </c>
      <c r="G27" s="39">
        <f>F27*(1-E27)</f>
        <v>0</v>
      </c>
      <c r="H27" s="39">
        <f>F27*E27</f>
        <v>0</v>
      </c>
    </row>
    <row r="28" spans="1:9" x14ac:dyDescent="0.25">
      <c r="A28" s="291" t="s">
        <v>278</v>
      </c>
      <c r="B28" s="24">
        <v>1</v>
      </c>
      <c r="C28" s="265" t="s">
        <v>14</v>
      </c>
      <c r="D28" s="14">
        <v>21</v>
      </c>
      <c r="E28" s="34">
        <v>0.33</v>
      </c>
      <c r="F28" s="39">
        <f t="shared" si="0"/>
        <v>21</v>
      </c>
      <c r="G28" s="39">
        <f t="shared" si="1"/>
        <v>14.069999999999999</v>
      </c>
      <c r="H28" s="39">
        <f t="shared" si="2"/>
        <v>6.9300000000000006</v>
      </c>
    </row>
    <row r="29" spans="1:9" x14ac:dyDescent="0.25">
      <c r="A29" s="16" t="s">
        <v>40</v>
      </c>
      <c r="B29" s="24">
        <v>1</v>
      </c>
      <c r="C29" s="265" t="s">
        <v>14</v>
      </c>
      <c r="D29" s="14">
        <v>0</v>
      </c>
      <c r="E29" s="34">
        <v>0</v>
      </c>
      <c r="F29" s="39">
        <f t="shared" si="0"/>
        <v>0</v>
      </c>
      <c r="G29" s="39">
        <f t="shared" si="1"/>
        <v>0</v>
      </c>
      <c r="H29" s="39">
        <f t="shared" si="2"/>
        <v>0</v>
      </c>
    </row>
    <row r="30" spans="1:9" x14ac:dyDescent="0.25">
      <c r="A30" s="16" t="s">
        <v>40</v>
      </c>
      <c r="B30" s="24">
        <v>1</v>
      </c>
      <c r="C30" s="265" t="s">
        <v>14</v>
      </c>
      <c r="D30" s="14">
        <v>0</v>
      </c>
      <c r="E30" s="34">
        <v>0</v>
      </c>
      <c r="F30" s="39">
        <f t="shared" si="0"/>
        <v>0</v>
      </c>
      <c r="G30" s="39">
        <f t="shared" si="1"/>
        <v>0</v>
      </c>
      <c r="H30" s="39">
        <f t="shared" si="2"/>
        <v>0</v>
      </c>
    </row>
    <row r="31" spans="1:9" x14ac:dyDescent="0.25">
      <c r="A31" s="4" t="s">
        <v>22</v>
      </c>
      <c r="B31" s="24">
        <v>1</v>
      </c>
      <c r="C31" s="119" t="s">
        <v>14</v>
      </c>
      <c r="D31" s="14">
        <v>17.399999999999999</v>
      </c>
      <c r="E31" s="34">
        <v>0</v>
      </c>
      <c r="F31" s="39">
        <f t="shared" si="0"/>
        <v>17.399999999999999</v>
      </c>
      <c r="G31" s="39">
        <f t="shared" si="1"/>
        <v>17.399999999999999</v>
      </c>
      <c r="H31" s="39">
        <f t="shared" si="2"/>
        <v>0</v>
      </c>
    </row>
    <row r="32" spans="1:9" x14ac:dyDescent="0.25">
      <c r="A32" s="4" t="s">
        <v>140</v>
      </c>
      <c r="B32" s="28">
        <v>0.67500000000000004</v>
      </c>
      <c r="C32" s="119" t="s">
        <v>23</v>
      </c>
      <c r="D32" s="55">
        <f>'Universal Input Prices'!$B$31</f>
        <v>12.45</v>
      </c>
      <c r="E32" s="34">
        <v>0</v>
      </c>
      <c r="F32" s="39">
        <f t="shared" si="0"/>
        <v>8.4037500000000005</v>
      </c>
      <c r="G32" s="39">
        <f t="shared" si="1"/>
        <v>8.4037500000000005</v>
      </c>
      <c r="H32" s="39">
        <f t="shared" si="2"/>
        <v>0</v>
      </c>
    </row>
    <row r="33" spans="1:8" x14ac:dyDescent="0.25">
      <c r="A33" s="4" t="s">
        <v>25</v>
      </c>
      <c r="B33" s="28">
        <v>1.91</v>
      </c>
      <c r="C33" s="119" t="s">
        <v>26</v>
      </c>
      <c r="D33" s="55">
        <f>'Universal Input Prices'!$B$32</f>
        <v>1.81</v>
      </c>
      <c r="E33" s="34">
        <v>0</v>
      </c>
      <c r="F33" s="39">
        <f t="shared" si="0"/>
        <v>3.4571000000000001</v>
      </c>
      <c r="G33" s="39">
        <f t="shared" si="1"/>
        <v>3.4571000000000001</v>
      </c>
      <c r="H33" s="39">
        <f t="shared" si="2"/>
        <v>0</v>
      </c>
    </row>
    <row r="34" spans="1:8" x14ac:dyDescent="0.25">
      <c r="A34" s="4" t="s">
        <v>27</v>
      </c>
      <c r="B34" s="186">
        <v>2.0307691999999999</v>
      </c>
      <c r="C34" s="119" t="s">
        <v>26</v>
      </c>
      <c r="D34" s="55">
        <f>'Universal Input Prices'!$B$33</f>
        <v>1.9259999999999999</v>
      </c>
      <c r="E34" s="34">
        <v>0</v>
      </c>
      <c r="F34" s="39">
        <f t="shared" si="0"/>
        <v>3.9112614791999998</v>
      </c>
      <c r="G34" s="39">
        <f t="shared" si="1"/>
        <v>3.9112614791999998</v>
      </c>
      <c r="H34" s="39">
        <f t="shared" si="2"/>
        <v>0</v>
      </c>
    </row>
    <row r="35" spans="1:8" x14ac:dyDescent="0.25">
      <c r="A35" s="4" t="s">
        <v>30</v>
      </c>
      <c r="B35" s="5"/>
      <c r="C35" s="119"/>
      <c r="D35" s="15"/>
      <c r="E35" s="36"/>
      <c r="F35" s="39"/>
      <c r="G35" s="39"/>
      <c r="H35" s="39"/>
    </row>
    <row r="36" spans="1:8" x14ac:dyDescent="0.25">
      <c r="A36" s="7" t="s">
        <v>31</v>
      </c>
      <c r="B36" s="5">
        <v>1</v>
      </c>
      <c r="C36" s="119" t="s">
        <v>14</v>
      </c>
      <c r="D36" s="14">
        <v>10.18</v>
      </c>
      <c r="E36" s="34">
        <v>0</v>
      </c>
      <c r="F36" s="39">
        <f>D36*B36</f>
        <v>10.18</v>
      </c>
      <c r="G36" s="39">
        <f>F36*(1-E36)</f>
        <v>10.18</v>
      </c>
      <c r="H36" s="39">
        <f>F36*E36</f>
        <v>0</v>
      </c>
    </row>
    <row r="37" spans="1:8" x14ac:dyDescent="0.25">
      <c r="A37" s="7" t="s">
        <v>2</v>
      </c>
      <c r="B37" s="5">
        <v>1</v>
      </c>
      <c r="C37" s="119" t="s">
        <v>14</v>
      </c>
      <c r="D37" s="14">
        <v>3.68</v>
      </c>
      <c r="E37" s="34">
        <v>0</v>
      </c>
      <c r="F37" s="39">
        <f>D37*B37</f>
        <v>3.68</v>
      </c>
      <c r="G37" s="39">
        <f>F37*(1-E37)</f>
        <v>3.68</v>
      </c>
      <c r="H37" s="39">
        <f>F37*E37</f>
        <v>0</v>
      </c>
    </row>
    <row r="38" spans="1:8" x14ac:dyDescent="0.25">
      <c r="A38" s="7" t="s">
        <v>203</v>
      </c>
      <c r="B38" s="5">
        <v>1</v>
      </c>
      <c r="C38" s="119" t="s">
        <v>14</v>
      </c>
      <c r="D38" s="14">
        <v>0</v>
      </c>
      <c r="E38" s="34">
        <v>0</v>
      </c>
      <c r="F38" s="39">
        <f>D38*B38</f>
        <v>0</v>
      </c>
      <c r="G38" s="39">
        <f>F38*(1-E38)</f>
        <v>0</v>
      </c>
      <c r="H38" s="39">
        <f>F38*E38</f>
        <v>0</v>
      </c>
    </row>
    <row r="39" spans="1:8" x14ac:dyDescent="0.25">
      <c r="A39" s="7" t="s">
        <v>204</v>
      </c>
      <c r="B39" s="5">
        <v>1</v>
      </c>
      <c r="C39" s="119" t="s">
        <v>14</v>
      </c>
      <c r="D39" s="14">
        <v>0</v>
      </c>
      <c r="E39" s="34">
        <v>0</v>
      </c>
      <c r="F39" s="39">
        <f>D39*B39</f>
        <v>0</v>
      </c>
      <c r="G39" s="39">
        <f>F39*(1-E39)</f>
        <v>0</v>
      </c>
      <c r="H39" s="39">
        <f>F39*E39</f>
        <v>0</v>
      </c>
    </row>
    <row r="40" spans="1:8" x14ac:dyDescent="0.25">
      <c r="A40" s="7" t="s">
        <v>33</v>
      </c>
      <c r="B40" s="5">
        <v>1</v>
      </c>
      <c r="C40" s="119" t="s">
        <v>14</v>
      </c>
      <c r="D40" s="14">
        <v>2.4900000000000002</v>
      </c>
      <c r="E40" s="34">
        <v>0</v>
      </c>
      <c r="F40" s="39">
        <f>D40*B40</f>
        <v>2.4900000000000002</v>
      </c>
      <c r="G40" s="39">
        <f>F40*(1-E40)</f>
        <v>2.4900000000000002</v>
      </c>
      <c r="H40" s="39">
        <f>F40*E40</f>
        <v>0</v>
      </c>
    </row>
    <row r="41" spans="1:8" x14ac:dyDescent="0.25">
      <c r="A41" s="4" t="s">
        <v>34</v>
      </c>
      <c r="B41" s="89">
        <f>'Universal Input Prices'!$B$35</f>
        <v>5.3999999999999999E-2</v>
      </c>
      <c r="C41" s="119"/>
      <c r="D41" s="22"/>
      <c r="E41" s="36"/>
      <c r="F41" s="158">
        <f>(SUM(F15:F23,F26:F40))*$B41/2.8</f>
        <v>2.371190364241714</v>
      </c>
      <c r="G41" s="158">
        <f>(SUM(G15:G23,G26:G40))*$B41/2</f>
        <v>3.1325565099383996</v>
      </c>
      <c r="H41" s="158">
        <f>(SUM(H15:H23,H26:H40))*$B41/2</f>
        <v>0.18711000000000003</v>
      </c>
    </row>
    <row r="42" spans="1:8" x14ac:dyDescent="0.25">
      <c r="A42" s="4"/>
      <c r="B42" s="10"/>
      <c r="C42" s="119"/>
      <c r="D42" s="8"/>
      <c r="E42" s="36"/>
      <c r="F42" s="39"/>
      <c r="G42" s="39"/>
      <c r="H42" s="39"/>
    </row>
    <row r="43" spans="1:8" x14ac:dyDescent="0.25">
      <c r="A43" s="4" t="s">
        <v>205</v>
      </c>
      <c r="B43" s="10"/>
      <c r="C43" s="119"/>
      <c r="D43" s="8"/>
      <c r="E43" s="36"/>
      <c r="F43" s="39">
        <f>SUM(F15:F41)</f>
        <v>156.57180184344173</v>
      </c>
      <c r="G43" s="39">
        <f>SUM(G15:G41)</f>
        <v>150.40316798913841</v>
      </c>
      <c r="H43" s="39">
        <f>SUM(H15:H41)</f>
        <v>7.1171100000000003</v>
      </c>
    </row>
    <row r="44" spans="1:8" ht="13.8" x14ac:dyDescent="0.25">
      <c r="A44" s="12" t="s">
        <v>206</v>
      </c>
      <c r="B44" s="10"/>
      <c r="C44" s="119"/>
      <c r="D44" s="8"/>
      <c r="E44" s="36"/>
      <c r="F44" s="72">
        <f>F12-F43</f>
        <v>-12.821801843441733</v>
      </c>
      <c r="G44" s="72">
        <f>G12-G43</f>
        <v>-6.6531679891384101</v>
      </c>
      <c r="H44" s="72">
        <f>H12-H43</f>
        <v>-7.1171100000000003</v>
      </c>
    </row>
    <row r="45" spans="1:8" x14ac:dyDescent="0.25">
      <c r="A45" s="4"/>
      <c r="B45" s="10"/>
      <c r="C45" s="119"/>
      <c r="D45" s="8"/>
      <c r="E45" s="36"/>
      <c r="F45" s="39"/>
      <c r="G45" s="39"/>
      <c r="H45" s="39"/>
    </row>
    <row r="46" spans="1:8" x14ac:dyDescent="0.25">
      <c r="A46" s="4" t="s">
        <v>208</v>
      </c>
      <c r="B46" s="10"/>
      <c r="C46" s="119"/>
      <c r="D46" s="8"/>
      <c r="E46" s="36"/>
      <c r="F46" s="39"/>
      <c r="G46" s="39"/>
      <c r="H46" s="39"/>
    </row>
    <row r="47" spans="1:8" x14ac:dyDescent="0.25">
      <c r="A47" s="7" t="s">
        <v>31</v>
      </c>
      <c r="B47" s="5">
        <v>1</v>
      </c>
      <c r="C47" s="119" t="s">
        <v>14</v>
      </c>
      <c r="D47" s="14">
        <v>16.350000000000001</v>
      </c>
      <c r="E47" s="34">
        <v>0</v>
      </c>
      <c r="F47" s="39">
        <f t="shared" ref="F47:F52" si="3">D47*B47</f>
        <v>16.350000000000001</v>
      </c>
      <c r="G47" s="39">
        <f t="shared" ref="G47:G55" si="4">F47*(1-E47)</f>
        <v>16.350000000000001</v>
      </c>
      <c r="H47" s="39">
        <f t="shared" ref="H47:H55" si="5">F47*E47</f>
        <v>0</v>
      </c>
    </row>
    <row r="48" spans="1:8" x14ac:dyDescent="0.25">
      <c r="A48" s="7" t="s">
        <v>2</v>
      </c>
      <c r="B48" s="5">
        <v>1</v>
      </c>
      <c r="C48" s="119" t="s">
        <v>14</v>
      </c>
      <c r="D48" s="14">
        <v>5.15</v>
      </c>
      <c r="E48" s="34">
        <v>0</v>
      </c>
      <c r="F48" s="39">
        <f t="shared" si="3"/>
        <v>5.15</v>
      </c>
      <c r="G48" s="39">
        <f t="shared" si="4"/>
        <v>5.15</v>
      </c>
      <c r="H48" s="39">
        <f t="shared" si="5"/>
        <v>0</v>
      </c>
    </row>
    <row r="49" spans="1:8" x14ac:dyDescent="0.25">
      <c r="A49" s="7" t="s">
        <v>203</v>
      </c>
      <c r="B49" s="5">
        <v>1</v>
      </c>
      <c r="C49" s="119" t="s">
        <v>14</v>
      </c>
      <c r="D49" s="14">
        <v>0</v>
      </c>
      <c r="E49" s="34">
        <v>0</v>
      </c>
      <c r="F49" s="39">
        <f t="shared" si="3"/>
        <v>0</v>
      </c>
      <c r="G49" s="39">
        <f t="shared" si="4"/>
        <v>0</v>
      </c>
      <c r="H49" s="39">
        <f t="shared" si="5"/>
        <v>0</v>
      </c>
    </row>
    <row r="50" spans="1:8" x14ac:dyDescent="0.25">
      <c r="A50" s="7" t="s">
        <v>204</v>
      </c>
      <c r="B50" s="5">
        <v>1</v>
      </c>
      <c r="C50" s="119" t="s">
        <v>14</v>
      </c>
      <c r="D50" s="14">
        <v>0</v>
      </c>
      <c r="E50" s="34">
        <v>0</v>
      </c>
      <c r="F50" s="39">
        <f t="shared" si="3"/>
        <v>0</v>
      </c>
      <c r="G50" s="39">
        <f t="shared" si="4"/>
        <v>0</v>
      </c>
      <c r="H50" s="39">
        <f t="shared" si="5"/>
        <v>0</v>
      </c>
    </row>
    <row r="51" spans="1:8" x14ac:dyDescent="0.25">
      <c r="A51" s="7" t="s">
        <v>33</v>
      </c>
      <c r="B51" s="5">
        <v>1</v>
      </c>
      <c r="C51" s="119" t="s">
        <v>14</v>
      </c>
      <c r="D51" s="14">
        <v>3.63</v>
      </c>
      <c r="E51" s="34">
        <v>0</v>
      </c>
      <c r="F51" s="39">
        <f t="shared" si="3"/>
        <v>3.63</v>
      </c>
      <c r="G51" s="39">
        <f t="shared" si="4"/>
        <v>3.63</v>
      </c>
      <c r="H51" s="39">
        <f t="shared" si="5"/>
        <v>0</v>
      </c>
    </row>
    <row r="52" spans="1:8" x14ac:dyDescent="0.25">
      <c r="A52" s="7" t="s">
        <v>35</v>
      </c>
      <c r="B52" s="5">
        <v>1</v>
      </c>
      <c r="C52" s="119" t="s">
        <v>14</v>
      </c>
      <c r="D52" s="14">
        <v>0</v>
      </c>
      <c r="E52" s="34">
        <v>0</v>
      </c>
      <c r="F52" s="39">
        <f t="shared" si="3"/>
        <v>0</v>
      </c>
      <c r="G52" s="39">
        <f t="shared" si="4"/>
        <v>0</v>
      </c>
      <c r="H52" s="39">
        <f t="shared" si="5"/>
        <v>0</v>
      </c>
    </row>
    <row r="53" spans="1:8" x14ac:dyDescent="0.25">
      <c r="A53" s="7" t="s">
        <v>41</v>
      </c>
      <c r="B53" s="5">
        <v>1</v>
      </c>
      <c r="C53" s="119" t="s">
        <v>14</v>
      </c>
      <c r="D53" s="14">
        <v>0</v>
      </c>
      <c r="E53" s="34">
        <v>0</v>
      </c>
      <c r="F53" s="39">
        <f>B53*D53</f>
        <v>0</v>
      </c>
      <c r="G53" s="39">
        <f t="shared" si="4"/>
        <v>0</v>
      </c>
      <c r="H53" s="39">
        <f t="shared" si="5"/>
        <v>0</v>
      </c>
    </row>
    <row r="54" spans="1:8" x14ac:dyDescent="0.25">
      <c r="A54" s="7" t="s">
        <v>36</v>
      </c>
      <c r="B54" s="43">
        <v>1</v>
      </c>
      <c r="C54" s="119" t="s">
        <v>14</v>
      </c>
      <c r="D54" s="14">
        <v>26.5</v>
      </c>
      <c r="E54" s="34">
        <v>0</v>
      </c>
      <c r="F54" s="39">
        <f>D54*B54</f>
        <v>26.5</v>
      </c>
      <c r="G54" s="39">
        <f>IF($H$6="Cash",D54,F54*(1-E54))</f>
        <v>26.5</v>
      </c>
      <c r="H54" s="39">
        <f>IF($H$6="Cash",0,F54*E54)</f>
        <v>0</v>
      </c>
    </row>
    <row r="55" spans="1:8" x14ac:dyDescent="0.25">
      <c r="A55" s="7" t="s">
        <v>42</v>
      </c>
      <c r="B55" s="43">
        <v>1</v>
      </c>
      <c r="C55" s="119" t="s">
        <v>14</v>
      </c>
      <c r="D55" s="14">
        <v>0</v>
      </c>
      <c r="E55" s="34">
        <v>0</v>
      </c>
      <c r="F55" s="39">
        <f>B55*D55</f>
        <v>0</v>
      </c>
      <c r="G55" s="39">
        <f t="shared" si="4"/>
        <v>0</v>
      </c>
      <c r="H55" s="39">
        <f t="shared" si="5"/>
        <v>0</v>
      </c>
    </row>
    <row r="56" spans="1:8" x14ac:dyDescent="0.25">
      <c r="A56" s="4" t="s">
        <v>37</v>
      </c>
      <c r="B56" s="5"/>
      <c r="C56" s="119"/>
      <c r="D56" s="10"/>
      <c r="E56" s="36"/>
      <c r="F56" s="39">
        <f>SUM(F47:F55)</f>
        <v>51.629999999999995</v>
      </c>
      <c r="G56" s="39">
        <f>SUM(G47:G55)</f>
        <v>51.629999999999995</v>
      </c>
      <c r="H56" s="39">
        <f>SUM(H47:H55)</f>
        <v>0</v>
      </c>
    </row>
    <row r="57" spans="1:8" x14ac:dyDescent="0.25">
      <c r="A57" s="4" t="s">
        <v>38</v>
      </c>
      <c r="B57" s="5"/>
      <c r="C57" s="119"/>
      <c r="D57" s="10"/>
      <c r="E57" s="36"/>
      <c r="F57" s="39">
        <f>F43+F56</f>
        <v>208.20180184344173</v>
      </c>
      <c r="G57" s="39">
        <f>G43+G56</f>
        <v>202.03316798913841</v>
      </c>
      <c r="H57" s="39">
        <f>H43+H56</f>
        <v>7.1171100000000003</v>
      </c>
    </row>
    <row r="58" spans="1:8" ht="13.8" x14ac:dyDescent="0.25">
      <c r="A58" s="12" t="s">
        <v>39</v>
      </c>
      <c r="B58" s="5"/>
      <c r="C58" s="119"/>
      <c r="D58" s="10"/>
      <c r="E58" s="36"/>
      <c r="F58" s="72">
        <f>F12-F57</f>
        <v>-64.451801843441729</v>
      </c>
      <c r="G58" s="72">
        <f>G12-G57</f>
        <v>-58.283167989138406</v>
      </c>
      <c r="H58" s="72">
        <f>H12-H57</f>
        <v>-7.1171100000000003</v>
      </c>
    </row>
    <row r="59" spans="1:8" x14ac:dyDescent="0.25">
      <c r="A59" s="4"/>
      <c r="B59" s="5"/>
      <c r="C59" s="119"/>
      <c r="D59" s="10"/>
      <c r="E59" s="36"/>
      <c r="F59" s="8"/>
      <c r="G59" s="8"/>
      <c r="H59" s="8"/>
    </row>
    <row r="60" spans="1:8" ht="13.8" x14ac:dyDescent="0.25">
      <c r="A60" s="113" t="s">
        <v>161</v>
      </c>
      <c r="B60" s="113"/>
      <c r="C60" s="266"/>
      <c r="D60" s="113"/>
      <c r="E60" s="114"/>
      <c r="F60" s="115">
        <f>(F58/F57)</f>
        <v>-0.30956409249477362</v>
      </c>
      <c r="G60" s="115">
        <f t="shared" ref="G60:H60" si="6">(G58/G57)</f>
        <v>-0.28848316625056236</v>
      </c>
      <c r="H60" s="115">
        <f t="shared" si="6"/>
        <v>-1</v>
      </c>
    </row>
    <row r="61" spans="1:8" x14ac:dyDescent="0.25">
      <c r="B61" s="41"/>
      <c r="C61" s="270"/>
      <c r="D61" s="46"/>
      <c r="E61" s="36"/>
      <c r="F61" s="42"/>
      <c r="G61" s="4"/>
      <c r="H61" s="4"/>
    </row>
    <row r="62" spans="1:8" x14ac:dyDescent="0.25">
      <c r="B62" s="4"/>
      <c r="C62" s="4"/>
      <c r="D62" s="4"/>
      <c r="E62" s="10"/>
      <c r="F62" s="4"/>
      <c r="G62" s="4"/>
      <c r="H62" s="4"/>
    </row>
    <row r="63" spans="1:8" x14ac:dyDescent="0.25">
      <c r="B63" s="4"/>
      <c r="C63" s="4"/>
      <c r="D63" s="4"/>
      <c r="E63" s="10"/>
      <c r="F63" s="4"/>
      <c r="G63" s="4"/>
      <c r="H63" s="4"/>
    </row>
    <row r="64" spans="1:8" x14ac:dyDescent="0.25">
      <c r="B64" s="4"/>
      <c r="C64" s="4"/>
      <c r="D64" s="4"/>
      <c r="E64" s="10"/>
      <c r="F64" s="4"/>
      <c r="G64" s="4"/>
      <c r="H64" s="4"/>
    </row>
    <row r="65" spans="2:8" x14ac:dyDescent="0.25">
      <c r="B65" s="4"/>
      <c r="C65" s="4"/>
      <c r="D65" s="4"/>
      <c r="E65" s="4"/>
      <c r="F65" s="4"/>
      <c r="G65" s="4"/>
      <c r="H65" s="4"/>
    </row>
    <row r="66" spans="2:8" x14ac:dyDescent="0.25">
      <c r="B66" s="4"/>
      <c r="C66" s="4"/>
      <c r="D66" s="4"/>
      <c r="E66" s="46"/>
      <c r="F66" s="4"/>
      <c r="G66" s="4"/>
      <c r="H66" s="4"/>
    </row>
    <row r="67" spans="2:8" x14ac:dyDescent="0.25">
      <c r="B67" s="4"/>
      <c r="C67" s="4"/>
      <c r="D67" s="4"/>
      <c r="E67" s="4"/>
      <c r="F67" s="4"/>
      <c r="G67" s="4"/>
      <c r="H67" s="4"/>
    </row>
    <row r="68" spans="2:8" x14ac:dyDescent="0.25">
      <c r="B68" s="4"/>
      <c r="C68" s="4"/>
      <c r="D68" s="4"/>
      <c r="E68" s="4"/>
      <c r="F68" s="4"/>
      <c r="G68" s="4"/>
      <c r="H68" s="4"/>
    </row>
    <row r="69" spans="2:8" x14ac:dyDescent="0.25">
      <c r="B69" s="4"/>
      <c r="C69" s="4"/>
      <c r="D69" s="4"/>
      <c r="E69" s="4"/>
      <c r="F69" s="4"/>
      <c r="G69" s="4"/>
      <c r="H69"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83"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65"/>
  <sheetViews>
    <sheetView showGridLines="0" showRowColHeaders="0" zoomScale="90" zoomScaleNormal="90" workbookViewId="0">
      <pane ySplit="7" topLeftCell="A36" activePane="bottomLeft" state="frozen"/>
      <selection activeCell="B9" sqref="B9"/>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168</v>
      </c>
      <c r="B3" s="319"/>
      <c r="C3" s="319"/>
      <c r="D3" s="319"/>
      <c r="E3" s="319"/>
      <c r="F3" s="319"/>
      <c r="G3" s="319"/>
      <c r="H3" s="319"/>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53" t="s">
        <v>4</v>
      </c>
      <c r="C6" s="53" t="s">
        <v>5</v>
      </c>
      <c r="D6" s="53" t="s">
        <v>6</v>
      </c>
      <c r="E6" s="53" t="s">
        <v>53</v>
      </c>
      <c r="F6" s="244"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119"/>
      <c r="D8" s="5"/>
      <c r="E8" s="5"/>
      <c r="F8" s="5"/>
      <c r="G8" s="5"/>
      <c r="H8" s="5"/>
    </row>
    <row r="9" spans="1:18" x14ac:dyDescent="0.25">
      <c r="A9" s="7" t="s">
        <v>44</v>
      </c>
      <c r="B9" s="33">
        <v>336</v>
      </c>
      <c r="C9" s="128" t="s">
        <v>79</v>
      </c>
      <c r="D9" s="54">
        <f>Grazing_Price</f>
        <v>0.4</v>
      </c>
      <c r="E9" s="34">
        <v>0.33</v>
      </c>
      <c r="F9" s="39">
        <f>D9*B9</f>
        <v>134.4</v>
      </c>
      <c r="G9" s="39">
        <f>F9*(1-E9)</f>
        <v>90.047999999999988</v>
      </c>
      <c r="H9" s="39">
        <f>IF(H6="Cash", 0,F9*E9)</f>
        <v>44.352000000000004</v>
      </c>
    </row>
    <row r="10" spans="1:18" x14ac:dyDescent="0.25">
      <c r="A10" s="7" t="s">
        <v>263</v>
      </c>
      <c r="B10" s="47">
        <v>0</v>
      </c>
      <c r="C10" s="119" t="s">
        <v>264</v>
      </c>
      <c r="D10" s="55">
        <v>1</v>
      </c>
      <c r="E10" s="34">
        <v>0.33</v>
      </c>
      <c r="F10" s="39">
        <f>D10*B10</f>
        <v>0</v>
      </c>
      <c r="G10" s="39">
        <f>F10*(1-E10)</f>
        <v>0</v>
      </c>
      <c r="H10" s="39">
        <f>IF(H7="Cash", D58,F10*E10)</f>
        <v>0</v>
      </c>
      <c r="I10" s="4"/>
    </row>
    <row r="11" spans="1:18" x14ac:dyDescent="0.25">
      <c r="A11" s="9"/>
      <c r="B11" s="21"/>
      <c r="C11" s="264"/>
      <c r="D11" s="8"/>
      <c r="E11" s="36"/>
      <c r="F11" s="39"/>
      <c r="G11" s="39"/>
      <c r="H11" s="39"/>
    </row>
    <row r="12" spans="1:18" x14ac:dyDescent="0.25">
      <c r="A12" s="4" t="s">
        <v>12</v>
      </c>
      <c r="B12" s="5"/>
      <c r="C12" s="119"/>
      <c r="D12" s="8"/>
      <c r="E12" s="36"/>
      <c r="F12" s="39">
        <f>SUM(F9:F11)</f>
        <v>134.4</v>
      </c>
      <c r="G12" s="39">
        <f>SUM(G9:G11)</f>
        <v>90.047999999999988</v>
      </c>
      <c r="H12" s="39">
        <f>SUM(H9:H11)</f>
        <v>44.352000000000004</v>
      </c>
    </row>
    <row r="13" spans="1:18" x14ac:dyDescent="0.25">
      <c r="A13" s="4"/>
      <c r="B13" s="5"/>
      <c r="C13" s="119"/>
      <c r="D13" s="8"/>
      <c r="E13" s="36"/>
      <c r="F13" s="39"/>
      <c r="G13" s="39"/>
      <c r="H13" s="39"/>
    </row>
    <row r="14" spans="1:18" x14ac:dyDescent="0.25">
      <c r="A14" s="4" t="s">
        <v>207</v>
      </c>
      <c r="B14" s="5"/>
      <c r="C14" s="119"/>
      <c r="D14" s="8"/>
      <c r="E14" s="36"/>
      <c r="F14" s="39"/>
      <c r="G14" s="39"/>
      <c r="H14" s="39"/>
    </row>
    <row r="15" spans="1:18" x14ac:dyDescent="0.25">
      <c r="A15" s="4" t="s">
        <v>1</v>
      </c>
      <c r="B15" s="28">
        <v>15</v>
      </c>
      <c r="C15" s="128" t="s">
        <v>80</v>
      </c>
      <c r="D15" s="14">
        <v>0.95</v>
      </c>
      <c r="E15" s="34">
        <v>0</v>
      </c>
      <c r="F15" s="39">
        <f>D15*B15</f>
        <v>14.25</v>
      </c>
      <c r="G15" s="39">
        <f>F15*(1-E15)</f>
        <v>14.25</v>
      </c>
      <c r="H15" s="39">
        <f>F15*E15</f>
        <v>0</v>
      </c>
    </row>
    <row r="16" spans="1:18" x14ac:dyDescent="0.25">
      <c r="A16" s="4" t="s">
        <v>0</v>
      </c>
      <c r="B16" s="26"/>
      <c r="C16" s="119"/>
      <c r="D16" s="15"/>
      <c r="E16" s="36"/>
      <c r="F16" s="39"/>
      <c r="G16" s="39"/>
      <c r="H16" s="39"/>
    </row>
    <row r="17" spans="1:13" x14ac:dyDescent="0.25">
      <c r="A17" s="302" t="s">
        <v>255</v>
      </c>
      <c r="B17" s="24">
        <v>50</v>
      </c>
      <c r="C17" s="119" t="s">
        <v>79</v>
      </c>
      <c r="D17" s="54">
        <f>IF(A17="",0,VLOOKUP(A17,'Universal Input Prices'!$A$26:$B$30, 2))</f>
        <v>0.25000000000000006</v>
      </c>
      <c r="E17" s="34">
        <v>0.33</v>
      </c>
      <c r="F17" s="39">
        <f>D17*B17</f>
        <v>12.500000000000004</v>
      </c>
      <c r="G17" s="39">
        <f>F17*(1-E17)</f>
        <v>8.3750000000000018</v>
      </c>
      <c r="H17" s="39">
        <f>F17*E17</f>
        <v>4.1250000000000018</v>
      </c>
    </row>
    <row r="18" spans="1:13" x14ac:dyDescent="0.25">
      <c r="A18" s="302"/>
      <c r="B18" s="24">
        <v>0</v>
      </c>
      <c r="C18" s="119" t="s">
        <v>79</v>
      </c>
      <c r="D18" s="54">
        <f>IF(A18="",0,VLOOKUP(A18,'Universal Input Prices'!$A$26:$B$30, 2))</f>
        <v>0</v>
      </c>
      <c r="E18" s="34">
        <v>0</v>
      </c>
      <c r="F18" s="39">
        <f>D18*B18</f>
        <v>0</v>
      </c>
      <c r="G18" s="39">
        <f>F18*(1-E18)</f>
        <v>0</v>
      </c>
      <c r="H18" s="39">
        <f>F18*E18</f>
        <v>0</v>
      </c>
      <c r="I18" s="4"/>
    </row>
    <row r="19" spans="1:13" x14ac:dyDescent="0.25">
      <c r="A19" s="302"/>
      <c r="B19" s="24">
        <v>0</v>
      </c>
      <c r="C19" s="119" t="s">
        <v>79</v>
      </c>
      <c r="D19" s="54">
        <f>IF(A19="",0,VLOOKUP(A19,'Universal Input Prices'!$A$26:$B$30, 2))</f>
        <v>0</v>
      </c>
      <c r="E19" s="34">
        <v>0</v>
      </c>
      <c r="F19" s="39">
        <f>D19*B19</f>
        <v>0</v>
      </c>
      <c r="G19" s="39">
        <f>F19*(1-E19)</f>
        <v>0</v>
      </c>
      <c r="H19" s="39">
        <f>F19*E19</f>
        <v>0</v>
      </c>
      <c r="I19" s="4"/>
    </row>
    <row r="20" spans="1:13" x14ac:dyDescent="0.25">
      <c r="A20" s="4" t="s">
        <v>15</v>
      </c>
      <c r="B20" s="27"/>
      <c r="C20" s="119"/>
      <c r="D20" s="8"/>
      <c r="E20" s="34"/>
      <c r="F20" s="39"/>
      <c r="G20" s="39"/>
      <c r="H20" s="39"/>
    </row>
    <row r="21" spans="1:13" x14ac:dyDescent="0.25">
      <c r="A21" s="2" t="s">
        <v>236</v>
      </c>
      <c r="B21" s="24">
        <v>1</v>
      </c>
      <c r="C21" s="119" t="s">
        <v>79</v>
      </c>
      <c r="D21" s="14">
        <v>12.1</v>
      </c>
      <c r="E21" s="34">
        <v>0.33</v>
      </c>
      <c r="F21" s="39">
        <f t="shared" ref="F21:F33" si="0">D21*B21</f>
        <v>12.1</v>
      </c>
      <c r="G21" s="39">
        <f t="shared" ref="G21:G39" si="1">F21*(1-E21)</f>
        <v>8.1069999999999993</v>
      </c>
      <c r="H21" s="39">
        <f t="shared" ref="H21:H39" si="2">F21*E21</f>
        <v>3.9929999999999999</v>
      </c>
    </row>
    <row r="22" spans="1:13" x14ac:dyDescent="0.25">
      <c r="A22" s="2" t="s">
        <v>43</v>
      </c>
      <c r="B22" s="24">
        <v>1</v>
      </c>
      <c r="C22" s="119" t="s">
        <v>14</v>
      </c>
      <c r="D22" s="14">
        <v>15</v>
      </c>
      <c r="E22" s="34">
        <v>0.33</v>
      </c>
      <c r="F22" s="39">
        <f t="shared" si="0"/>
        <v>15</v>
      </c>
      <c r="G22" s="39">
        <f t="shared" si="1"/>
        <v>10.049999999999999</v>
      </c>
      <c r="H22" s="39">
        <f t="shared" si="2"/>
        <v>4.95</v>
      </c>
    </row>
    <row r="23" spans="1:13" x14ac:dyDescent="0.25">
      <c r="A23" s="2" t="s">
        <v>237</v>
      </c>
      <c r="B23" s="24">
        <v>1</v>
      </c>
      <c r="C23" s="119" t="s">
        <v>14</v>
      </c>
      <c r="D23" s="14">
        <v>0</v>
      </c>
      <c r="E23" s="34">
        <v>0.33</v>
      </c>
      <c r="F23" s="39">
        <f t="shared" si="0"/>
        <v>0</v>
      </c>
      <c r="G23" s="39">
        <f t="shared" si="1"/>
        <v>0</v>
      </c>
      <c r="H23" s="39">
        <f t="shared" si="2"/>
        <v>0</v>
      </c>
    </row>
    <row r="24" spans="1:13" x14ac:dyDescent="0.25">
      <c r="A24" s="7" t="s">
        <v>45</v>
      </c>
      <c r="B24" s="27">
        <v>0</v>
      </c>
      <c r="C24" s="128" t="s">
        <v>80</v>
      </c>
      <c r="D24" s="14">
        <v>0</v>
      </c>
      <c r="E24" s="34">
        <v>0</v>
      </c>
      <c r="F24" s="39">
        <f t="shared" si="0"/>
        <v>0</v>
      </c>
      <c r="G24" s="39">
        <f t="shared" si="1"/>
        <v>0</v>
      </c>
      <c r="H24" s="39">
        <f t="shared" si="2"/>
        <v>0</v>
      </c>
    </row>
    <row r="25" spans="1:13" x14ac:dyDescent="0.25">
      <c r="A25" s="7" t="s">
        <v>20</v>
      </c>
      <c r="B25" s="24">
        <v>0</v>
      </c>
      <c r="C25" s="119" t="s">
        <v>14</v>
      </c>
      <c r="D25" s="14">
        <v>0</v>
      </c>
      <c r="E25" s="34">
        <v>0</v>
      </c>
      <c r="F25" s="39">
        <f t="shared" si="0"/>
        <v>0</v>
      </c>
      <c r="G25" s="39">
        <f t="shared" si="1"/>
        <v>0</v>
      </c>
      <c r="H25" s="39">
        <f t="shared" si="2"/>
        <v>0</v>
      </c>
    </row>
    <row r="26" spans="1:13" x14ac:dyDescent="0.25">
      <c r="A26" s="2" t="s">
        <v>21</v>
      </c>
      <c r="B26" s="24">
        <v>1</v>
      </c>
      <c r="C26" s="119" t="s">
        <v>14</v>
      </c>
      <c r="D26" s="14">
        <v>0</v>
      </c>
      <c r="E26" s="34">
        <v>0</v>
      </c>
      <c r="F26" s="39">
        <f>D26*B26</f>
        <v>0</v>
      </c>
      <c r="G26" s="39">
        <f>F26*(1-E26)</f>
        <v>0</v>
      </c>
      <c r="H26" s="39">
        <f>F26*E26</f>
        <v>0</v>
      </c>
      <c r="K26" s="52"/>
    </row>
    <row r="27" spans="1:13" x14ac:dyDescent="0.25">
      <c r="A27" s="16" t="s">
        <v>40</v>
      </c>
      <c r="B27" s="24">
        <v>1</v>
      </c>
      <c r="C27" s="265" t="s">
        <v>14</v>
      </c>
      <c r="D27" s="14">
        <v>0</v>
      </c>
      <c r="E27" s="34">
        <v>0</v>
      </c>
      <c r="F27" s="39">
        <f t="shared" si="0"/>
        <v>0</v>
      </c>
      <c r="G27" s="39">
        <f t="shared" si="1"/>
        <v>0</v>
      </c>
      <c r="H27" s="39">
        <f t="shared" si="2"/>
        <v>0</v>
      </c>
      <c r="J27" s="90"/>
      <c r="K27" s="91"/>
      <c r="L27" s="90"/>
      <c r="M27" s="90"/>
    </row>
    <row r="28" spans="1:13" x14ac:dyDescent="0.25">
      <c r="A28" s="16" t="s">
        <v>40</v>
      </c>
      <c r="B28" s="24">
        <v>1</v>
      </c>
      <c r="C28" s="265" t="s">
        <v>14</v>
      </c>
      <c r="D28" s="14">
        <v>0</v>
      </c>
      <c r="E28" s="34">
        <v>0</v>
      </c>
      <c r="F28" s="39">
        <f t="shared" si="0"/>
        <v>0</v>
      </c>
      <c r="G28" s="39">
        <f t="shared" si="1"/>
        <v>0</v>
      </c>
      <c r="H28" s="39">
        <f t="shared" si="2"/>
        <v>0</v>
      </c>
      <c r="K28" s="92"/>
      <c r="L28" s="4"/>
    </row>
    <row r="29" spans="1:13" x14ac:dyDescent="0.25">
      <c r="A29" s="16" t="s">
        <v>40</v>
      </c>
      <c r="B29" s="24">
        <v>1</v>
      </c>
      <c r="C29" s="265" t="s">
        <v>14</v>
      </c>
      <c r="D29" s="14">
        <v>0</v>
      </c>
      <c r="E29" s="34">
        <v>0</v>
      </c>
      <c r="F29" s="39">
        <f t="shared" si="0"/>
        <v>0</v>
      </c>
      <c r="G29" s="39">
        <f t="shared" si="1"/>
        <v>0</v>
      </c>
      <c r="H29" s="39">
        <f t="shared" si="2"/>
        <v>0</v>
      </c>
      <c r="J29" s="90"/>
      <c r="K29" s="85"/>
    </row>
    <row r="30" spans="1:13" x14ac:dyDescent="0.25">
      <c r="A30" s="4" t="s">
        <v>22</v>
      </c>
      <c r="B30" s="24">
        <v>1</v>
      </c>
      <c r="C30" s="119" t="s">
        <v>14</v>
      </c>
      <c r="D30" s="14">
        <v>19</v>
      </c>
      <c r="E30" s="34">
        <v>0.33</v>
      </c>
      <c r="F30" s="39">
        <f t="shared" si="0"/>
        <v>19</v>
      </c>
      <c r="G30" s="39">
        <f t="shared" si="1"/>
        <v>12.729999999999999</v>
      </c>
      <c r="H30" s="39">
        <f t="shared" si="2"/>
        <v>6.2700000000000005</v>
      </c>
    </row>
    <row r="31" spans="1:13" x14ac:dyDescent="0.25">
      <c r="A31" s="4" t="s">
        <v>140</v>
      </c>
      <c r="B31" s="28">
        <v>0.90500000000000003</v>
      </c>
      <c r="C31" s="119" t="s">
        <v>23</v>
      </c>
      <c r="D31" s="55">
        <f>'Universal Input Prices'!$B$31</f>
        <v>12.45</v>
      </c>
      <c r="E31" s="34">
        <v>0</v>
      </c>
      <c r="F31" s="39">
        <f t="shared" si="0"/>
        <v>11.267249999999999</v>
      </c>
      <c r="G31" s="39">
        <f t="shared" si="1"/>
        <v>11.267249999999999</v>
      </c>
      <c r="H31" s="39">
        <f t="shared" si="2"/>
        <v>0</v>
      </c>
    </row>
    <row r="32" spans="1:13" x14ac:dyDescent="0.25">
      <c r="A32" s="4" t="s">
        <v>25</v>
      </c>
      <c r="B32" s="28">
        <v>2.15</v>
      </c>
      <c r="C32" s="119" t="s">
        <v>26</v>
      </c>
      <c r="D32" s="55">
        <f>'Universal Input Prices'!$B$32</f>
        <v>1.81</v>
      </c>
      <c r="E32" s="34">
        <v>0</v>
      </c>
      <c r="F32" s="39">
        <f t="shared" si="0"/>
        <v>3.8914999999999997</v>
      </c>
      <c r="G32" s="39">
        <f t="shared" si="1"/>
        <v>3.8914999999999997</v>
      </c>
      <c r="H32" s="39">
        <f t="shared" si="2"/>
        <v>0</v>
      </c>
    </row>
    <row r="33" spans="1:8" x14ac:dyDescent="0.25">
      <c r="A33" s="4" t="s">
        <v>27</v>
      </c>
      <c r="B33" s="28">
        <v>2.0307689999999998</v>
      </c>
      <c r="C33" s="119" t="s">
        <v>26</v>
      </c>
      <c r="D33" s="55">
        <f>'Universal Input Prices'!$B$33</f>
        <v>1.9259999999999999</v>
      </c>
      <c r="E33" s="34">
        <v>0</v>
      </c>
      <c r="F33" s="39">
        <f t="shared" si="0"/>
        <v>3.9112610939999994</v>
      </c>
      <c r="G33" s="39">
        <f t="shared" si="1"/>
        <v>3.9112610939999994</v>
      </c>
      <c r="H33" s="39">
        <f t="shared" si="2"/>
        <v>0</v>
      </c>
    </row>
    <row r="34" spans="1:8" x14ac:dyDescent="0.25">
      <c r="A34" s="4" t="s">
        <v>30</v>
      </c>
      <c r="B34" s="5"/>
      <c r="C34" s="119"/>
      <c r="D34" s="15"/>
      <c r="E34" s="36"/>
      <c r="F34" s="39"/>
      <c r="G34" s="39"/>
      <c r="H34" s="39"/>
    </row>
    <row r="35" spans="1:8" x14ac:dyDescent="0.25">
      <c r="A35" s="7" t="s">
        <v>31</v>
      </c>
      <c r="B35" s="5">
        <v>1</v>
      </c>
      <c r="C35" s="119" t="s">
        <v>14</v>
      </c>
      <c r="D35" s="14">
        <v>9.7200000000000006</v>
      </c>
      <c r="E35" s="34">
        <v>0</v>
      </c>
      <c r="F35" s="39">
        <f>D35*B35</f>
        <v>9.7200000000000006</v>
      </c>
      <c r="G35" s="39">
        <f t="shared" si="1"/>
        <v>9.7200000000000006</v>
      </c>
      <c r="H35" s="39">
        <f t="shared" si="2"/>
        <v>0</v>
      </c>
    </row>
    <row r="36" spans="1:8" x14ac:dyDescent="0.25">
      <c r="A36" s="7" t="s">
        <v>2</v>
      </c>
      <c r="B36" s="5">
        <v>1</v>
      </c>
      <c r="C36" s="119" t="s">
        <v>14</v>
      </c>
      <c r="D36" s="14">
        <v>3.57</v>
      </c>
      <c r="E36" s="34">
        <v>0</v>
      </c>
      <c r="F36" s="39">
        <f>D36*B36</f>
        <v>3.57</v>
      </c>
      <c r="G36" s="39">
        <f t="shared" si="1"/>
        <v>3.57</v>
      </c>
      <c r="H36" s="39">
        <f t="shared" si="2"/>
        <v>0</v>
      </c>
    </row>
    <row r="37" spans="1:8" x14ac:dyDescent="0.25">
      <c r="A37" s="7" t="s">
        <v>203</v>
      </c>
      <c r="B37" s="5">
        <v>15</v>
      </c>
      <c r="C37" s="119" t="s">
        <v>14</v>
      </c>
      <c r="D37" s="14">
        <v>0</v>
      </c>
      <c r="E37" s="34">
        <v>0</v>
      </c>
      <c r="F37" s="39">
        <f>D37*B37</f>
        <v>0</v>
      </c>
      <c r="G37" s="39">
        <f t="shared" si="1"/>
        <v>0</v>
      </c>
      <c r="H37" s="39">
        <f t="shared" si="2"/>
        <v>0</v>
      </c>
    </row>
    <row r="38" spans="1:8" x14ac:dyDescent="0.25">
      <c r="A38" s="7" t="s">
        <v>204</v>
      </c>
      <c r="B38" s="5">
        <v>1</v>
      </c>
      <c r="C38" s="119" t="s">
        <v>14</v>
      </c>
      <c r="D38" s="14">
        <v>0</v>
      </c>
      <c r="E38" s="34">
        <v>1</v>
      </c>
      <c r="F38" s="39">
        <f>D38*B38</f>
        <v>0</v>
      </c>
      <c r="G38" s="39">
        <f t="shared" si="1"/>
        <v>0</v>
      </c>
      <c r="H38" s="39">
        <f t="shared" si="2"/>
        <v>0</v>
      </c>
    </row>
    <row r="39" spans="1:8" x14ac:dyDescent="0.25">
      <c r="A39" s="7" t="s">
        <v>33</v>
      </c>
      <c r="B39" s="5">
        <v>1</v>
      </c>
      <c r="C39" s="119" t="s">
        <v>14</v>
      </c>
      <c r="D39" s="14">
        <v>2.4900000000000002</v>
      </c>
      <c r="E39" s="34">
        <v>0</v>
      </c>
      <c r="F39" s="39">
        <f>D39*B39</f>
        <v>2.4900000000000002</v>
      </c>
      <c r="G39" s="39">
        <f t="shared" si="1"/>
        <v>2.4900000000000002</v>
      </c>
      <c r="H39" s="39">
        <f t="shared" si="2"/>
        <v>0</v>
      </c>
    </row>
    <row r="40" spans="1:8" x14ac:dyDescent="0.25">
      <c r="A40" s="4" t="s">
        <v>34</v>
      </c>
      <c r="B40" s="89">
        <f>'Universal Input Prices'!$B$35</f>
        <v>5.3999999999999999E-2</v>
      </c>
      <c r="C40" s="119"/>
      <c r="D40" s="22"/>
      <c r="E40" s="36"/>
      <c r="F40" s="158">
        <f>(SUM(F15:F23,F25:F39))*$B40/2.65</f>
        <v>2.1946417355003769</v>
      </c>
      <c r="G40" s="158">
        <f>(SUM(G15:G23,G25:G39))*$B40/2</f>
        <v>2.3857742995379989</v>
      </c>
      <c r="H40" s="158">
        <f>(SUM(H15:H23,H25:H39))*$B40/2</f>
        <v>0.52212599999999998</v>
      </c>
    </row>
    <row r="41" spans="1:8" x14ac:dyDescent="0.25">
      <c r="A41" s="4"/>
      <c r="B41" s="10"/>
      <c r="C41" s="119"/>
      <c r="D41" s="8"/>
      <c r="E41" s="36"/>
      <c r="F41" s="39"/>
      <c r="G41" s="39"/>
      <c r="H41" s="39"/>
    </row>
    <row r="42" spans="1:8" x14ac:dyDescent="0.25">
      <c r="A42" s="4" t="s">
        <v>205</v>
      </c>
      <c r="B42" s="10"/>
      <c r="C42" s="119"/>
      <c r="D42" s="8"/>
      <c r="E42" s="36"/>
      <c r="F42" s="39">
        <f>SUM(F15:F40)</f>
        <v>109.89465282950036</v>
      </c>
      <c r="G42" s="39">
        <f>SUM(G15:G40)</f>
        <v>90.747785393537967</v>
      </c>
      <c r="H42" s="39">
        <f>SUM(H15:H40)</f>
        <v>19.860126000000001</v>
      </c>
    </row>
    <row r="43" spans="1:8" ht="13.8" x14ac:dyDescent="0.25">
      <c r="A43" s="12" t="s">
        <v>206</v>
      </c>
      <c r="B43" s="10"/>
      <c r="C43" s="119"/>
      <c r="D43" s="8"/>
      <c r="E43" s="36"/>
      <c r="F43" s="72">
        <f>F12-F42</f>
        <v>24.505347170499647</v>
      </c>
      <c r="G43" s="72">
        <f>G12-G42</f>
        <v>-0.69978539353797942</v>
      </c>
      <c r="H43" s="72">
        <f>H12-H42</f>
        <v>24.491874000000003</v>
      </c>
    </row>
    <row r="44" spans="1:8" x14ac:dyDescent="0.25">
      <c r="A44" s="4"/>
      <c r="B44" s="10"/>
      <c r="C44" s="119"/>
      <c r="D44" s="8"/>
      <c r="E44" s="36"/>
      <c r="F44" s="39"/>
      <c r="G44" s="39"/>
      <c r="H44" s="39"/>
    </row>
    <row r="45" spans="1:8" x14ac:dyDescent="0.25">
      <c r="A45" s="4" t="s">
        <v>208</v>
      </c>
      <c r="B45" s="10"/>
      <c r="C45" s="119"/>
      <c r="D45" s="8"/>
      <c r="E45" s="36"/>
      <c r="F45" s="39"/>
      <c r="G45" s="39"/>
      <c r="H45" s="39"/>
    </row>
    <row r="46" spans="1:8" x14ac:dyDescent="0.25">
      <c r="A46" s="7" t="s">
        <v>31</v>
      </c>
      <c r="B46" s="5">
        <v>1</v>
      </c>
      <c r="C46" s="119" t="s">
        <v>14</v>
      </c>
      <c r="D46" s="14">
        <v>15.22</v>
      </c>
      <c r="E46" s="34">
        <v>0</v>
      </c>
      <c r="F46" s="39">
        <f t="shared" ref="F46:F51" si="3">D46*B46</f>
        <v>15.22</v>
      </c>
      <c r="G46" s="39">
        <f t="shared" ref="G46:G54" si="4">F46*(1-E46)</f>
        <v>15.22</v>
      </c>
      <c r="H46" s="39">
        <f t="shared" ref="H46:H54" si="5">F46*E46</f>
        <v>0</v>
      </c>
    </row>
    <row r="47" spans="1:8" x14ac:dyDescent="0.25">
      <c r="A47" s="7" t="s">
        <v>2</v>
      </c>
      <c r="B47" s="5">
        <v>1</v>
      </c>
      <c r="C47" s="119" t="s">
        <v>14</v>
      </c>
      <c r="D47" s="14">
        <v>5.08</v>
      </c>
      <c r="E47" s="34">
        <v>0</v>
      </c>
      <c r="F47" s="39">
        <f t="shared" si="3"/>
        <v>5.08</v>
      </c>
      <c r="G47" s="39">
        <f t="shared" si="4"/>
        <v>5.08</v>
      </c>
      <c r="H47" s="39">
        <f t="shared" si="5"/>
        <v>0</v>
      </c>
    </row>
    <row r="48" spans="1:8" x14ac:dyDescent="0.25">
      <c r="A48" s="7" t="s">
        <v>203</v>
      </c>
      <c r="B48" s="5">
        <v>1</v>
      </c>
      <c r="C48" s="119" t="s">
        <v>14</v>
      </c>
      <c r="D48" s="14">
        <v>0</v>
      </c>
      <c r="E48" s="34">
        <v>1</v>
      </c>
      <c r="F48" s="39">
        <f t="shared" si="3"/>
        <v>0</v>
      </c>
      <c r="G48" s="39">
        <f t="shared" si="4"/>
        <v>0</v>
      </c>
      <c r="H48" s="39">
        <f t="shared" si="5"/>
        <v>0</v>
      </c>
    </row>
    <row r="49" spans="1:9" x14ac:dyDescent="0.25">
      <c r="A49" s="7" t="s">
        <v>204</v>
      </c>
      <c r="B49" s="5">
        <v>1</v>
      </c>
      <c r="C49" s="119" t="s">
        <v>14</v>
      </c>
      <c r="D49" s="14">
        <v>0</v>
      </c>
      <c r="E49" s="34">
        <v>1</v>
      </c>
      <c r="F49" s="39">
        <f t="shared" si="3"/>
        <v>0</v>
      </c>
      <c r="G49" s="39">
        <f t="shared" si="4"/>
        <v>0</v>
      </c>
      <c r="H49" s="39">
        <f t="shared" si="5"/>
        <v>0</v>
      </c>
    </row>
    <row r="50" spans="1:9" x14ac:dyDescent="0.25">
      <c r="A50" s="7" t="s">
        <v>33</v>
      </c>
      <c r="B50" s="5">
        <v>1</v>
      </c>
      <c r="C50" s="119" t="s">
        <v>14</v>
      </c>
      <c r="D50" s="14">
        <v>3.63</v>
      </c>
      <c r="E50" s="34">
        <v>0</v>
      </c>
      <c r="F50" s="39">
        <f t="shared" si="3"/>
        <v>3.63</v>
      </c>
      <c r="G50" s="39">
        <f t="shared" si="4"/>
        <v>3.63</v>
      </c>
      <c r="H50" s="39">
        <f t="shared" si="5"/>
        <v>0</v>
      </c>
    </row>
    <row r="51" spans="1:9" x14ac:dyDescent="0.25">
      <c r="A51" s="7" t="s">
        <v>35</v>
      </c>
      <c r="B51" s="5">
        <v>1</v>
      </c>
      <c r="C51" s="119" t="s">
        <v>14</v>
      </c>
      <c r="D51" s="14">
        <v>0</v>
      </c>
      <c r="E51" s="34">
        <v>0</v>
      </c>
      <c r="F51" s="39">
        <f t="shared" si="3"/>
        <v>0</v>
      </c>
      <c r="G51" s="39">
        <f t="shared" si="4"/>
        <v>0</v>
      </c>
      <c r="H51" s="39">
        <f t="shared" si="5"/>
        <v>0</v>
      </c>
    </row>
    <row r="52" spans="1:9" x14ac:dyDescent="0.25">
      <c r="A52" s="7" t="s">
        <v>41</v>
      </c>
      <c r="B52" s="5">
        <v>1</v>
      </c>
      <c r="C52" s="119" t="s">
        <v>14</v>
      </c>
      <c r="D52" s="14">
        <v>0</v>
      </c>
      <c r="E52" s="34">
        <v>0</v>
      </c>
      <c r="F52" s="39">
        <f>B52*D52</f>
        <v>0</v>
      </c>
      <c r="G52" s="39">
        <f t="shared" si="4"/>
        <v>0</v>
      </c>
      <c r="H52" s="39">
        <f t="shared" si="5"/>
        <v>0</v>
      </c>
    </row>
    <row r="53" spans="1:9" x14ac:dyDescent="0.25">
      <c r="A53" s="7" t="s">
        <v>36</v>
      </c>
      <c r="B53" s="43">
        <v>1</v>
      </c>
      <c r="C53" s="119" t="s">
        <v>14</v>
      </c>
      <c r="D53" s="14">
        <v>26.5</v>
      </c>
      <c r="E53" s="34">
        <v>1</v>
      </c>
      <c r="F53" s="39">
        <f>D53*B53</f>
        <v>26.5</v>
      </c>
      <c r="G53" s="39">
        <f>IF($H$6="Cash",D53,F53*(1-E53))</f>
        <v>0</v>
      </c>
      <c r="H53" s="39">
        <f>IF($H$6="Cash",0,F53*E53)</f>
        <v>26.5</v>
      </c>
    </row>
    <row r="54" spans="1:9" x14ac:dyDescent="0.25">
      <c r="A54" s="7" t="s">
        <v>42</v>
      </c>
      <c r="B54" s="43">
        <v>1</v>
      </c>
      <c r="C54" s="119" t="s">
        <v>14</v>
      </c>
      <c r="D54" s="14">
        <v>0</v>
      </c>
      <c r="E54" s="34">
        <v>1</v>
      </c>
      <c r="F54" s="39">
        <f>B54*D54</f>
        <v>0</v>
      </c>
      <c r="G54" s="39">
        <f t="shared" si="4"/>
        <v>0</v>
      </c>
      <c r="H54" s="39">
        <f t="shared" si="5"/>
        <v>0</v>
      </c>
    </row>
    <row r="55" spans="1:9" x14ac:dyDescent="0.25">
      <c r="A55" s="4" t="s">
        <v>37</v>
      </c>
      <c r="B55" s="5"/>
      <c r="C55" s="119"/>
      <c r="D55" s="10"/>
      <c r="E55" s="36"/>
      <c r="F55" s="39">
        <f>SUM(F46:F54)</f>
        <v>50.43</v>
      </c>
      <c r="G55" s="39">
        <f>SUM(G46:G54)</f>
        <v>23.93</v>
      </c>
      <c r="H55" s="39">
        <f>SUM(H46:H54)</f>
        <v>26.5</v>
      </c>
    </row>
    <row r="56" spans="1:9" x14ac:dyDescent="0.25">
      <c r="A56" s="4" t="s">
        <v>38</v>
      </c>
      <c r="B56" s="5"/>
      <c r="C56" s="119"/>
      <c r="D56" s="10"/>
      <c r="E56" s="36"/>
      <c r="F56" s="39">
        <f>F42+F55</f>
        <v>160.32465282950037</v>
      </c>
      <c r="G56" s="39">
        <f>G42+G55</f>
        <v>114.67778539353796</v>
      </c>
      <c r="H56" s="39">
        <f>H42+H55</f>
        <v>46.360126000000001</v>
      </c>
    </row>
    <row r="57" spans="1:9" ht="13.8" x14ac:dyDescent="0.25">
      <c r="A57" s="12" t="s">
        <v>39</v>
      </c>
      <c r="B57" s="31"/>
      <c r="C57" s="141"/>
      <c r="D57" s="30"/>
      <c r="E57" s="73"/>
      <c r="F57" s="72">
        <f>F12-F56</f>
        <v>-25.92465282950036</v>
      </c>
      <c r="G57" s="72">
        <f>G12-G56</f>
        <v>-24.629785393537972</v>
      </c>
      <c r="H57" s="72">
        <f>H12-H56</f>
        <v>-2.0081259999999972</v>
      </c>
      <c r="I57" s="4"/>
    </row>
    <row r="58" spans="1:9" ht="12" customHeight="1" x14ac:dyDescent="0.25">
      <c r="A58" s="4"/>
      <c r="B58" s="5"/>
      <c r="C58" s="119"/>
      <c r="D58" s="10"/>
      <c r="E58" s="36"/>
      <c r="F58" s="8"/>
      <c r="G58" s="8"/>
      <c r="H58" s="8"/>
      <c r="I58" s="4"/>
    </row>
    <row r="59" spans="1:9" ht="13.8" x14ac:dyDescent="0.25">
      <c r="A59" s="113" t="s">
        <v>161</v>
      </c>
      <c r="B59" s="113"/>
      <c r="C59" s="266"/>
      <c r="D59" s="113"/>
      <c r="E59" s="114"/>
      <c r="F59" s="115">
        <f>(F57/F56)</f>
        <v>-0.16170097593830637</v>
      </c>
      <c r="G59" s="115">
        <f t="shared" ref="G59:H59" si="6">(G57/G56)</f>
        <v>-0.21477381437927426</v>
      </c>
      <c r="H59" s="115">
        <f t="shared" si="6"/>
        <v>-4.3315801169306507E-2</v>
      </c>
      <c r="I59" s="4"/>
    </row>
    <row r="60" spans="1:9" x14ac:dyDescent="0.25">
      <c r="B60" s="1"/>
      <c r="C60" s="270"/>
      <c r="D60" s="46"/>
      <c r="E60" s="36"/>
      <c r="F60" s="42"/>
      <c r="G60" s="4"/>
      <c r="H60" s="4"/>
      <c r="I60" s="4"/>
    </row>
    <row r="61" spans="1:9" x14ac:dyDescent="0.25">
      <c r="C61" s="4"/>
      <c r="D61" s="4"/>
      <c r="E61" s="10"/>
      <c r="F61" s="4"/>
      <c r="G61" s="4"/>
      <c r="H61" s="4"/>
      <c r="I61" s="4"/>
    </row>
    <row r="62" spans="1:9" x14ac:dyDescent="0.25">
      <c r="C62" s="4"/>
      <c r="D62" s="4"/>
      <c r="E62" s="10"/>
      <c r="F62" s="4"/>
      <c r="G62" s="4"/>
      <c r="H62" s="4"/>
      <c r="I62" s="4"/>
    </row>
    <row r="63" spans="1:9" x14ac:dyDescent="0.25">
      <c r="C63" s="4"/>
      <c r="D63" s="4"/>
      <c r="E63" s="10"/>
      <c r="F63" s="4"/>
      <c r="G63" s="4"/>
      <c r="H63" s="4"/>
    </row>
    <row r="64" spans="1:9" x14ac:dyDescent="0.25">
      <c r="C64" s="4"/>
      <c r="D64" s="4"/>
      <c r="E64" s="4"/>
      <c r="F64" s="4"/>
      <c r="G64" s="4"/>
      <c r="H64" s="4"/>
    </row>
    <row r="65" spans="3:8" x14ac:dyDescent="0.25">
      <c r="C65" s="4"/>
      <c r="D65" s="4"/>
      <c r="E65" s="46"/>
      <c r="F65" s="4"/>
      <c r="G65" s="4"/>
      <c r="H65" s="4"/>
    </row>
  </sheetData>
  <sheetProtection sheet="1" objects="1" scenarios="1" formatColumns="0" formatRows="0" selectLockedCells="1"/>
  <mergeCells count="3">
    <mergeCell ref="A2:H2"/>
    <mergeCell ref="A3:H3"/>
    <mergeCell ref="A4:H4"/>
  </mergeCells>
  <phoneticPr fontId="23"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83"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1">
    <pageSetUpPr fitToPage="1"/>
  </sheetPr>
  <dimension ref="A1:R75"/>
  <sheetViews>
    <sheetView showGridLines="0" showRowColHeaders="0" zoomScale="90" zoomScaleNormal="90" workbookViewId="0">
      <pane ySplit="7" topLeftCell="A45" activePane="bottomLeft" state="frozen"/>
      <selection activeCell="B9" sqref="B9"/>
      <selection pane="bottomLeft" activeCell="E9" sqref="E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179</v>
      </c>
      <c r="B3" s="319"/>
      <c r="C3" s="319"/>
      <c r="D3" s="319"/>
      <c r="E3" s="319"/>
      <c r="F3" s="319"/>
      <c r="G3" s="319"/>
      <c r="H3" s="319"/>
      <c r="I3" s="4"/>
      <c r="J3" s="4"/>
      <c r="K3" s="4"/>
      <c r="L3" s="4"/>
      <c r="M3" s="4"/>
    </row>
    <row r="4" spans="1:18" ht="15" x14ac:dyDescent="0.25">
      <c r="A4" s="319" t="s">
        <v>269</v>
      </c>
      <c r="B4" s="319"/>
      <c r="C4" s="319"/>
      <c r="D4" s="319"/>
      <c r="E4" s="319"/>
      <c r="F4" s="319"/>
      <c r="G4" s="319"/>
      <c r="H4" s="319"/>
      <c r="I4" s="4"/>
      <c r="J4" s="4"/>
      <c r="K4" s="4"/>
      <c r="L4" s="4"/>
      <c r="M4" s="4"/>
    </row>
    <row r="5" spans="1:18" ht="13.8" x14ac:dyDescent="0.25">
      <c r="A5" s="4"/>
      <c r="B5" s="40"/>
      <c r="C5" s="40"/>
      <c r="D5" s="40"/>
      <c r="E5" s="40"/>
      <c r="G5" s="245"/>
      <c r="H5" s="242" t="s">
        <v>102</v>
      </c>
      <c r="I5" s="69" t="s">
        <v>55</v>
      </c>
      <c r="J5" s="4"/>
      <c r="K5" s="4"/>
      <c r="L5" s="4"/>
      <c r="M5" s="4"/>
      <c r="O5" s="1"/>
      <c r="P5" s="1"/>
    </row>
    <row r="6" spans="1:18" ht="13.8" x14ac:dyDescent="0.25">
      <c r="A6" s="4" t="s">
        <v>3</v>
      </c>
      <c r="B6" s="53" t="s">
        <v>4</v>
      </c>
      <c r="C6" s="53" t="s">
        <v>5</v>
      </c>
      <c r="D6" s="53" t="s">
        <v>6</v>
      </c>
      <c r="E6" s="53" t="s">
        <v>53</v>
      </c>
      <c r="F6" s="244" t="s">
        <v>151</v>
      </c>
      <c r="G6" s="244"/>
      <c r="H6" s="112" t="s">
        <v>55</v>
      </c>
      <c r="I6" s="70" t="s">
        <v>103</v>
      </c>
      <c r="J6" s="4"/>
      <c r="K6" s="4"/>
      <c r="L6" s="4"/>
      <c r="M6" s="4"/>
    </row>
    <row r="7" spans="1:18" x14ac:dyDescent="0.25">
      <c r="A7" s="4"/>
      <c r="B7" s="5"/>
      <c r="C7" s="5"/>
      <c r="D7" s="5"/>
      <c r="E7" s="53" t="s">
        <v>55</v>
      </c>
      <c r="F7" s="53" t="s">
        <v>56</v>
      </c>
      <c r="G7" s="53" t="s">
        <v>52</v>
      </c>
      <c r="H7" s="53" t="s">
        <v>53</v>
      </c>
      <c r="J7" s="4"/>
      <c r="K7" s="4"/>
      <c r="L7" s="4"/>
      <c r="M7" s="4"/>
    </row>
    <row r="8" spans="1:18" x14ac:dyDescent="0.25">
      <c r="A8" s="4" t="s">
        <v>7</v>
      </c>
      <c r="B8" s="5"/>
      <c r="C8" s="119"/>
      <c r="D8" s="5"/>
      <c r="E8" s="5"/>
      <c r="F8" s="5"/>
      <c r="G8" s="5"/>
      <c r="H8" s="5"/>
      <c r="J8" s="4"/>
      <c r="K8" s="4"/>
      <c r="L8" s="4"/>
      <c r="M8" s="4"/>
    </row>
    <row r="9" spans="1:18" x14ac:dyDescent="0.25">
      <c r="A9" s="7" t="s">
        <v>91</v>
      </c>
      <c r="B9" s="47">
        <v>10</v>
      </c>
      <c r="C9" s="119" t="s">
        <v>54</v>
      </c>
      <c r="D9" s="55">
        <f>'Universal Input Prices'!$B$16</f>
        <v>16.5</v>
      </c>
      <c r="E9" s="34">
        <v>0.33</v>
      </c>
      <c r="F9" s="39">
        <f>D9*B9</f>
        <v>165</v>
      </c>
      <c r="G9" s="39">
        <f>F9*(1-E9)</f>
        <v>110.54999999999998</v>
      </c>
      <c r="H9" s="39">
        <f>IF(H6="Cash", D55,F9*E9)</f>
        <v>54.45</v>
      </c>
      <c r="J9" s="4"/>
      <c r="K9" s="4"/>
      <c r="L9" s="4"/>
      <c r="M9" s="4"/>
    </row>
    <row r="10" spans="1:18" x14ac:dyDescent="0.25">
      <c r="A10" s="7" t="s">
        <v>263</v>
      </c>
      <c r="B10" s="47">
        <v>0</v>
      </c>
      <c r="C10" s="119" t="s">
        <v>264</v>
      </c>
      <c r="D10" s="55">
        <v>1</v>
      </c>
      <c r="E10" s="34">
        <v>0.33</v>
      </c>
      <c r="F10" s="39">
        <f>D10*B10</f>
        <v>0</v>
      </c>
      <c r="G10" s="39">
        <f>F10*(1-E10)</f>
        <v>0</v>
      </c>
      <c r="H10" s="39">
        <f>IF(H7="Cash", D58,F10*E10)</f>
        <v>0</v>
      </c>
      <c r="I10" s="4"/>
    </row>
    <row r="11" spans="1:18" x14ac:dyDescent="0.25">
      <c r="A11" s="9"/>
      <c r="B11" s="21"/>
      <c r="C11" s="264"/>
      <c r="D11" s="8"/>
      <c r="E11" s="36"/>
      <c r="F11" s="39"/>
      <c r="G11" s="39"/>
      <c r="H11" s="39"/>
      <c r="I11" s="4"/>
      <c r="J11" s="4"/>
      <c r="K11" s="4"/>
      <c r="L11" s="4"/>
      <c r="M11" s="4"/>
    </row>
    <row r="12" spans="1:18" x14ac:dyDescent="0.25">
      <c r="A12" s="4" t="s">
        <v>12</v>
      </c>
      <c r="B12" s="5"/>
      <c r="C12" s="119"/>
      <c r="D12" s="8"/>
      <c r="E12" s="36"/>
      <c r="F12" s="39">
        <f>SUM(F8:F11)</f>
        <v>165</v>
      </c>
      <c r="G12" s="39">
        <f>SUM(G8:G11)</f>
        <v>110.54999999999998</v>
      </c>
      <c r="H12" s="39">
        <f>SUM(H8:H11)</f>
        <v>54.45</v>
      </c>
      <c r="I12" s="4"/>
      <c r="J12" s="4"/>
      <c r="K12" s="4"/>
      <c r="L12" s="4"/>
      <c r="M12" s="4"/>
    </row>
    <row r="13" spans="1:18" x14ac:dyDescent="0.25">
      <c r="A13" s="4"/>
      <c r="B13" s="5"/>
      <c r="C13" s="119"/>
      <c r="D13" s="8"/>
      <c r="E13" s="36"/>
      <c r="F13" s="39"/>
      <c r="G13" s="39"/>
      <c r="H13" s="39"/>
      <c r="I13" s="4"/>
      <c r="J13" s="4"/>
      <c r="K13" s="4"/>
      <c r="L13" s="4"/>
      <c r="M13" s="4"/>
    </row>
    <row r="14" spans="1:18" x14ac:dyDescent="0.25">
      <c r="A14" s="4" t="s">
        <v>207</v>
      </c>
      <c r="B14" s="5"/>
      <c r="C14" s="119"/>
      <c r="D14" s="8"/>
      <c r="E14" s="36"/>
      <c r="F14" s="39"/>
      <c r="G14" s="39"/>
      <c r="H14" s="39"/>
      <c r="I14" s="4"/>
      <c r="J14" s="4"/>
      <c r="K14" s="4"/>
      <c r="L14" s="4"/>
      <c r="M14" s="4"/>
    </row>
    <row r="15" spans="1:18" x14ac:dyDescent="0.25">
      <c r="A15" s="4" t="s">
        <v>1</v>
      </c>
      <c r="B15" s="28">
        <v>1</v>
      </c>
      <c r="C15" s="119" t="s">
        <v>14</v>
      </c>
      <c r="D15" s="14">
        <v>11</v>
      </c>
      <c r="E15" s="34">
        <v>0</v>
      </c>
      <c r="F15" s="39">
        <f>D15*B15</f>
        <v>11</v>
      </c>
      <c r="G15" s="39">
        <f>F15*(1-E15)</f>
        <v>11</v>
      </c>
      <c r="H15" s="39">
        <f>F15*E15</f>
        <v>0</v>
      </c>
      <c r="I15" s="4"/>
      <c r="J15" s="4"/>
      <c r="K15" s="4"/>
      <c r="L15" s="4"/>
      <c r="M15" s="4"/>
    </row>
    <row r="16" spans="1:18" x14ac:dyDescent="0.25">
      <c r="A16" s="4" t="s">
        <v>0</v>
      </c>
      <c r="B16" s="26"/>
      <c r="C16" s="119"/>
      <c r="D16" s="15"/>
      <c r="E16" s="34"/>
      <c r="F16" s="39"/>
      <c r="G16" s="39"/>
      <c r="H16" s="39"/>
      <c r="I16" s="4"/>
      <c r="J16" s="4"/>
      <c r="K16" s="4"/>
      <c r="L16" s="4"/>
      <c r="M16" s="4"/>
    </row>
    <row r="17" spans="1:13" x14ac:dyDescent="0.25">
      <c r="A17" s="302" t="s">
        <v>135</v>
      </c>
      <c r="B17" s="24">
        <v>40</v>
      </c>
      <c r="C17" s="119" t="s">
        <v>79</v>
      </c>
      <c r="D17" s="54">
        <f>IF(A17="",0,VLOOKUP(A17,'Universal Input Prices'!$A$26:$B$27, 2))</f>
        <v>0.41015625</v>
      </c>
      <c r="E17" s="34">
        <v>0.33</v>
      </c>
      <c r="F17" s="39">
        <f>D17*B17</f>
        <v>16.40625</v>
      </c>
      <c r="G17" s="39">
        <f>F17*(1-E17)</f>
        <v>10.992187499999998</v>
      </c>
      <c r="H17" s="39">
        <f>F17*E17</f>
        <v>5.4140625</v>
      </c>
      <c r="I17" s="4"/>
      <c r="J17" s="4"/>
      <c r="K17" s="4"/>
      <c r="L17" s="4"/>
      <c r="M17" s="4"/>
    </row>
    <row r="18" spans="1:13" x14ac:dyDescent="0.25">
      <c r="A18" s="302"/>
      <c r="B18" s="24">
        <v>0</v>
      </c>
      <c r="C18" s="119" t="s">
        <v>79</v>
      </c>
      <c r="D18" s="54">
        <f>IF(A18="",0,VLOOKUP(A18,'Universal Input Prices'!$A$26:$B$30, 2))</f>
        <v>0</v>
      </c>
      <c r="E18" s="34">
        <v>0</v>
      </c>
      <c r="F18" s="39">
        <f>D18*B18</f>
        <v>0</v>
      </c>
      <c r="G18" s="39">
        <f>F18*(1-E18)</f>
        <v>0</v>
      </c>
      <c r="H18" s="39">
        <f>F18*E18</f>
        <v>0</v>
      </c>
      <c r="I18" s="4"/>
    </row>
    <row r="19" spans="1:13" x14ac:dyDescent="0.25">
      <c r="A19" s="302"/>
      <c r="B19" s="24">
        <v>0</v>
      </c>
      <c r="C19" s="119" t="s">
        <v>79</v>
      </c>
      <c r="D19" s="54">
        <f>IF(A19="",0,VLOOKUP(A19,'Universal Input Prices'!$A$26:$B$30, 2))</f>
        <v>0</v>
      </c>
      <c r="E19" s="34">
        <v>0</v>
      </c>
      <c r="F19" s="39">
        <f>D19*B19</f>
        <v>0</v>
      </c>
      <c r="G19" s="39">
        <f>F19*(1-E19)</f>
        <v>0</v>
      </c>
      <c r="H19" s="39">
        <f>F19*E19</f>
        <v>0</v>
      </c>
      <c r="I19" s="4"/>
    </row>
    <row r="20" spans="1:13" x14ac:dyDescent="0.25">
      <c r="A20" s="4" t="s">
        <v>15</v>
      </c>
      <c r="B20" s="27"/>
      <c r="C20" s="119"/>
      <c r="D20" s="8"/>
      <c r="E20" s="36"/>
      <c r="F20" s="39"/>
      <c r="G20" s="39"/>
      <c r="H20" s="39"/>
      <c r="I20" s="4"/>
    </row>
    <row r="21" spans="1:13" x14ac:dyDescent="0.25">
      <c r="A21" s="2" t="s">
        <v>242</v>
      </c>
      <c r="B21" s="24">
        <v>3</v>
      </c>
      <c r="C21" s="119" t="s">
        <v>14</v>
      </c>
      <c r="D21" s="14">
        <v>9.4</v>
      </c>
      <c r="E21" s="34">
        <v>0.33</v>
      </c>
      <c r="F21" s="39">
        <f>D21*B21</f>
        <v>28.200000000000003</v>
      </c>
      <c r="G21" s="39">
        <f>F21*(1-E21)</f>
        <v>18.893999999999998</v>
      </c>
      <c r="H21" s="39">
        <f>F21*E21</f>
        <v>9.3060000000000009</v>
      </c>
      <c r="I21" s="4"/>
    </row>
    <row r="22" spans="1:13" x14ac:dyDescent="0.25">
      <c r="A22" s="2" t="s">
        <v>243</v>
      </c>
      <c r="B22" s="24">
        <v>1</v>
      </c>
      <c r="C22" s="119" t="s">
        <v>14</v>
      </c>
      <c r="D22" s="14">
        <v>15.35</v>
      </c>
      <c r="E22" s="34">
        <v>0.33</v>
      </c>
      <c r="F22" s="39">
        <f t="shared" ref="F22:F35" si="0">D22*B22</f>
        <v>15.35</v>
      </c>
      <c r="G22" s="39">
        <f t="shared" ref="G22:G35" si="1">F22*(1-E22)</f>
        <v>10.2845</v>
      </c>
      <c r="H22" s="39">
        <f t="shared" ref="H22:H35" si="2">F22*E22</f>
        <v>5.0655000000000001</v>
      </c>
      <c r="I22" s="4"/>
    </row>
    <row r="23" spans="1:13" x14ac:dyDescent="0.25">
      <c r="A23" s="2" t="s">
        <v>244</v>
      </c>
      <c r="B23" s="24">
        <v>1</v>
      </c>
      <c r="C23" s="119" t="s">
        <v>14</v>
      </c>
      <c r="D23" s="14">
        <v>8.75</v>
      </c>
      <c r="E23" s="34">
        <v>0.33</v>
      </c>
      <c r="F23" s="39">
        <f t="shared" si="0"/>
        <v>8.75</v>
      </c>
      <c r="G23" s="39">
        <f t="shared" si="1"/>
        <v>5.8624999999999989</v>
      </c>
      <c r="H23" s="39">
        <f t="shared" si="2"/>
        <v>2.8875000000000002</v>
      </c>
      <c r="I23" s="4"/>
    </row>
    <row r="24" spans="1:13" x14ac:dyDescent="0.25">
      <c r="A24" s="2" t="s">
        <v>245</v>
      </c>
      <c r="B24" s="27">
        <v>1</v>
      </c>
      <c r="C24" s="119" t="s">
        <v>14</v>
      </c>
      <c r="D24" s="14">
        <v>25</v>
      </c>
      <c r="E24" s="34">
        <v>0</v>
      </c>
      <c r="F24" s="39">
        <f t="shared" si="0"/>
        <v>25</v>
      </c>
      <c r="G24" s="39">
        <f t="shared" si="1"/>
        <v>25</v>
      </c>
      <c r="H24" s="39">
        <f t="shared" si="2"/>
        <v>0</v>
      </c>
      <c r="I24" s="4"/>
    </row>
    <row r="25" spans="1:13" x14ac:dyDescent="0.25">
      <c r="A25" s="2" t="s">
        <v>246</v>
      </c>
      <c r="B25" s="5">
        <f>B9</f>
        <v>10</v>
      </c>
      <c r="C25" s="119" t="s">
        <v>54</v>
      </c>
      <c r="D25" s="14">
        <v>0.45</v>
      </c>
      <c r="E25" s="34">
        <v>0</v>
      </c>
      <c r="F25" s="39">
        <f t="shared" si="0"/>
        <v>4.5</v>
      </c>
      <c r="G25" s="39">
        <f t="shared" si="1"/>
        <v>4.5</v>
      </c>
      <c r="H25" s="39">
        <f t="shared" si="2"/>
        <v>0</v>
      </c>
      <c r="I25" s="4"/>
    </row>
    <row r="26" spans="1:13" x14ac:dyDescent="0.25">
      <c r="A26" s="2" t="s">
        <v>247</v>
      </c>
      <c r="B26" s="24">
        <v>1</v>
      </c>
      <c r="C26" s="265" t="s">
        <v>14</v>
      </c>
      <c r="D26" s="14">
        <v>3.25</v>
      </c>
      <c r="E26" s="34">
        <v>0</v>
      </c>
      <c r="F26" s="39">
        <f>D26*B26</f>
        <v>3.25</v>
      </c>
      <c r="G26" s="39">
        <f>F26*(1-E26)</f>
        <v>3.25</v>
      </c>
      <c r="H26" s="39">
        <f>F26*E26</f>
        <v>0</v>
      </c>
      <c r="I26" s="4"/>
      <c r="J26" s="4"/>
      <c r="K26" s="4"/>
      <c r="L26" s="4"/>
      <c r="M26" s="4"/>
    </row>
    <row r="27" spans="1:13" x14ac:dyDescent="0.25">
      <c r="A27" s="16" t="s">
        <v>40</v>
      </c>
      <c r="B27" s="24">
        <v>1</v>
      </c>
      <c r="C27" s="265" t="s">
        <v>14</v>
      </c>
      <c r="D27" s="14">
        <v>0</v>
      </c>
      <c r="E27" s="34">
        <v>0</v>
      </c>
      <c r="F27" s="39">
        <f>D27*B27</f>
        <v>0</v>
      </c>
      <c r="G27" s="39">
        <f>F27*(1-E27)</f>
        <v>0</v>
      </c>
      <c r="H27" s="39">
        <f>F27*E27</f>
        <v>0</v>
      </c>
      <c r="I27" s="4"/>
      <c r="J27" s="4"/>
      <c r="K27" s="4"/>
      <c r="L27" s="4"/>
      <c r="M27" s="4"/>
    </row>
    <row r="28" spans="1:13" x14ac:dyDescent="0.25">
      <c r="A28" s="16" t="s">
        <v>40</v>
      </c>
      <c r="B28" s="24">
        <v>1</v>
      </c>
      <c r="C28" s="265" t="s">
        <v>14</v>
      </c>
      <c r="D28" s="14">
        <v>0</v>
      </c>
      <c r="E28" s="34">
        <v>0</v>
      </c>
      <c r="F28" s="39">
        <f>D28*B28</f>
        <v>0</v>
      </c>
      <c r="G28" s="39">
        <f>F28*(1-E28)</f>
        <v>0</v>
      </c>
      <c r="H28" s="39">
        <f>F28*E28</f>
        <v>0</v>
      </c>
      <c r="I28" s="4"/>
      <c r="J28" s="4"/>
      <c r="K28" s="4"/>
      <c r="L28" s="4"/>
      <c r="M28" s="4"/>
    </row>
    <row r="29" spans="1:13" x14ac:dyDescent="0.25">
      <c r="A29" s="16" t="s">
        <v>40</v>
      </c>
      <c r="B29" s="24">
        <v>1</v>
      </c>
      <c r="C29" s="265" t="s">
        <v>14</v>
      </c>
      <c r="D29" s="14">
        <v>0</v>
      </c>
      <c r="E29" s="34">
        <v>0</v>
      </c>
      <c r="F29" s="39">
        <f t="shared" si="0"/>
        <v>0</v>
      </c>
      <c r="G29" s="39">
        <f t="shared" si="1"/>
        <v>0</v>
      </c>
      <c r="H29" s="39">
        <f t="shared" si="2"/>
        <v>0</v>
      </c>
      <c r="I29" s="4"/>
      <c r="J29" s="4"/>
      <c r="K29" s="4"/>
      <c r="L29" s="4"/>
      <c r="M29" s="4"/>
    </row>
    <row r="30" spans="1:13" x14ac:dyDescent="0.25">
      <c r="A30" s="16" t="s">
        <v>40</v>
      </c>
      <c r="B30" s="24">
        <v>1</v>
      </c>
      <c r="C30" s="265" t="s">
        <v>14</v>
      </c>
      <c r="D30" s="14">
        <v>0</v>
      </c>
      <c r="E30" s="34">
        <v>0</v>
      </c>
      <c r="F30" s="39">
        <f t="shared" si="0"/>
        <v>0</v>
      </c>
      <c r="G30" s="39">
        <f t="shared" si="1"/>
        <v>0</v>
      </c>
      <c r="H30" s="39">
        <f t="shared" si="2"/>
        <v>0</v>
      </c>
      <c r="I30" s="4"/>
      <c r="J30" s="4"/>
      <c r="K30" s="4"/>
      <c r="L30" s="4"/>
      <c r="M30" s="4"/>
    </row>
    <row r="31" spans="1:13" x14ac:dyDescent="0.25">
      <c r="A31" s="16" t="s">
        <v>40</v>
      </c>
      <c r="B31" s="24">
        <v>1</v>
      </c>
      <c r="C31" s="265" t="s">
        <v>14</v>
      </c>
      <c r="D31" s="14">
        <v>0</v>
      </c>
      <c r="E31" s="34">
        <v>0</v>
      </c>
      <c r="F31" s="39">
        <f t="shared" si="0"/>
        <v>0</v>
      </c>
      <c r="G31" s="39">
        <f t="shared" si="1"/>
        <v>0</v>
      </c>
      <c r="H31" s="39">
        <f t="shared" si="2"/>
        <v>0</v>
      </c>
      <c r="I31" s="4"/>
      <c r="J31" s="4"/>
      <c r="K31" s="4"/>
      <c r="L31" s="4"/>
      <c r="M31" s="4"/>
    </row>
    <row r="32" spans="1:13" x14ac:dyDescent="0.25">
      <c r="A32" s="4" t="s">
        <v>22</v>
      </c>
      <c r="B32" s="24">
        <v>1</v>
      </c>
      <c r="C32" s="119" t="s">
        <v>14</v>
      </c>
      <c r="D32" s="14">
        <v>10</v>
      </c>
      <c r="E32" s="34">
        <v>0.33</v>
      </c>
      <c r="F32" s="39">
        <f t="shared" si="0"/>
        <v>10</v>
      </c>
      <c r="G32" s="39">
        <f t="shared" si="1"/>
        <v>6.6999999999999993</v>
      </c>
      <c r="H32" s="39">
        <f t="shared" si="2"/>
        <v>3.3000000000000003</v>
      </c>
      <c r="I32" s="4"/>
      <c r="J32" s="4"/>
      <c r="K32" s="4"/>
      <c r="L32" s="4"/>
      <c r="M32" s="4"/>
    </row>
    <row r="33" spans="1:13" x14ac:dyDescent="0.25">
      <c r="A33" s="4" t="s">
        <v>140</v>
      </c>
      <c r="B33" s="28">
        <v>0.45500000000000002</v>
      </c>
      <c r="C33" s="119" t="s">
        <v>23</v>
      </c>
      <c r="D33" s="55">
        <f>'Universal Input Prices'!$B$31</f>
        <v>12.45</v>
      </c>
      <c r="E33" s="34">
        <v>0</v>
      </c>
      <c r="F33" s="39">
        <f t="shared" si="0"/>
        <v>5.6647499999999997</v>
      </c>
      <c r="G33" s="39">
        <f t="shared" si="1"/>
        <v>5.6647499999999997</v>
      </c>
      <c r="H33" s="39">
        <f t="shared" si="2"/>
        <v>0</v>
      </c>
      <c r="I33" s="4"/>
      <c r="J33" s="4"/>
      <c r="K33" s="4"/>
      <c r="L33" s="4"/>
      <c r="M33" s="4"/>
    </row>
    <row r="34" spans="1:13" x14ac:dyDescent="0.25">
      <c r="A34" s="4" t="s">
        <v>25</v>
      </c>
      <c r="B34" s="28">
        <v>1.57</v>
      </c>
      <c r="C34" s="119" t="s">
        <v>26</v>
      </c>
      <c r="D34" s="55">
        <f>'Universal Input Prices'!$B$32</f>
        <v>1.81</v>
      </c>
      <c r="E34" s="34">
        <v>0</v>
      </c>
      <c r="F34" s="39">
        <f t="shared" si="0"/>
        <v>2.8417000000000003</v>
      </c>
      <c r="G34" s="39">
        <f t="shared" si="1"/>
        <v>2.8417000000000003</v>
      </c>
      <c r="H34" s="39">
        <f t="shared" si="2"/>
        <v>0</v>
      </c>
      <c r="I34" s="4"/>
      <c r="J34" s="4"/>
      <c r="K34" s="4"/>
      <c r="L34" s="4"/>
      <c r="M34" s="4"/>
    </row>
    <row r="35" spans="1:13" x14ac:dyDescent="0.25">
      <c r="A35" s="4" t="s">
        <v>27</v>
      </c>
      <c r="B35" s="28">
        <v>2.0307689999999998</v>
      </c>
      <c r="C35" s="119" t="s">
        <v>26</v>
      </c>
      <c r="D35" s="55">
        <f>'Universal Input Prices'!$B$33</f>
        <v>1.9259999999999999</v>
      </c>
      <c r="E35" s="34">
        <v>0</v>
      </c>
      <c r="F35" s="39">
        <f t="shared" si="0"/>
        <v>3.9112610939999994</v>
      </c>
      <c r="G35" s="39">
        <f t="shared" si="1"/>
        <v>3.9112610939999994</v>
      </c>
      <c r="H35" s="39">
        <f t="shared" si="2"/>
        <v>0</v>
      </c>
      <c r="I35" s="4"/>
      <c r="J35" s="4"/>
      <c r="K35" s="4"/>
      <c r="L35" s="4"/>
      <c r="M35" s="4"/>
    </row>
    <row r="36" spans="1:13" x14ac:dyDescent="0.25">
      <c r="A36" s="4" t="s">
        <v>30</v>
      </c>
      <c r="B36" s="5"/>
      <c r="C36" s="119"/>
      <c r="D36" s="15"/>
      <c r="E36" s="36"/>
      <c r="F36" s="39"/>
      <c r="G36" s="39"/>
      <c r="H36" s="39"/>
      <c r="I36" s="4"/>
      <c r="J36" s="4"/>
      <c r="K36" s="4"/>
      <c r="L36" s="4"/>
      <c r="M36" s="4"/>
    </row>
    <row r="37" spans="1:13" x14ac:dyDescent="0.25">
      <c r="A37" s="7" t="s">
        <v>31</v>
      </c>
      <c r="B37" s="5">
        <v>1</v>
      </c>
      <c r="C37" s="119" t="s">
        <v>14</v>
      </c>
      <c r="D37" s="14">
        <v>8.82</v>
      </c>
      <c r="E37" s="34">
        <v>0</v>
      </c>
      <c r="F37" s="39">
        <f>D37*B37</f>
        <v>8.82</v>
      </c>
      <c r="G37" s="39">
        <f>F37*(1-E37)</f>
        <v>8.82</v>
      </c>
      <c r="H37" s="39">
        <f>F37*E37</f>
        <v>0</v>
      </c>
      <c r="I37" s="4"/>
      <c r="J37" s="4"/>
      <c r="K37" s="4"/>
      <c r="L37" s="4"/>
      <c r="M37" s="4"/>
    </row>
    <row r="38" spans="1:13" x14ac:dyDescent="0.25">
      <c r="A38" s="7" t="s">
        <v>2</v>
      </c>
      <c r="B38" s="5">
        <v>1</v>
      </c>
      <c r="C38" s="119" t="s">
        <v>14</v>
      </c>
      <c r="D38" s="14">
        <v>3.28</v>
      </c>
      <c r="E38" s="34">
        <v>0</v>
      </c>
      <c r="F38" s="39">
        <f>D38*B38</f>
        <v>3.28</v>
      </c>
      <c r="G38" s="39">
        <f>F38*(1-E38)</f>
        <v>3.28</v>
      </c>
      <c r="H38" s="39">
        <f>F38*E38</f>
        <v>0</v>
      </c>
      <c r="I38" s="4"/>
      <c r="J38" s="4"/>
      <c r="K38" s="4"/>
      <c r="L38" s="4"/>
      <c r="M38" s="4"/>
    </row>
    <row r="39" spans="1:13" x14ac:dyDescent="0.25">
      <c r="A39" s="7" t="s">
        <v>203</v>
      </c>
      <c r="B39" s="5">
        <v>1</v>
      </c>
      <c r="C39" s="119" t="s">
        <v>14</v>
      </c>
      <c r="D39" s="14">
        <v>0</v>
      </c>
      <c r="E39" s="34">
        <v>0</v>
      </c>
      <c r="F39" s="39">
        <v>0</v>
      </c>
      <c r="G39" s="39">
        <f>F39*(1-E39)</f>
        <v>0</v>
      </c>
      <c r="H39" s="39">
        <f>F39*E39</f>
        <v>0</v>
      </c>
      <c r="I39" s="4"/>
      <c r="J39" s="4"/>
      <c r="K39" s="4"/>
      <c r="L39" s="4"/>
      <c r="M39" s="4"/>
    </row>
    <row r="40" spans="1:13" x14ac:dyDescent="0.25">
      <c r="A40" s="7" t="s">
        <v>204</v>
      </c>
      <c r="B40" s="5">
        <v>1</v>
      </c>
      <c r="C40" s="119" t="s">
        <v>14</v>
      </c>
      <c r="D40" s="14">
        <v>0</v>
      </c>
      <c r="E40" s="34">
        <v>1</v>
      </c>
      <c r="F40" s="39">
        <f>D40*B40</f>
        <v>0</v>
      </c>
      <c r="G40" s="39">
        <f>F40*(1-E40)</f>
        <v>0</v>
      </c>
      <c r="H40" s="39">
        <f>F40*E40</f>
        <v>0</v>
      </c>
      <c r="I40" s="4"/>
      <c r="J40" s="4"/>
      <c r="K40" s="4"/>
      <c r="L40" s="4"/>
      <c r="M40" s="4"/>
    </row>
    <row r="41" spans="1:13" x14ac:dyDescent="0.25">
      <c r="A41" s="7" t="s">
        <v>33</v>
      </c>
      <c r="B41" s="5">
        <v>1</v>
      </c>
      <c r="C41" s="119" t="s">
        <v>14</v>
      </c>
      <c r="D41" s="14">
        <v>2.4900000000000002</v>
      </c>
      <c r="E41" s="34">
        <v>0</v>
      </c>
      <c r="F41" s="39">
        <f>D41*B41</f>
        <v>2.4900000000000002</v>
      </c>
      <c r="G41" s="39">
        <f>F41*(1-E41)</f>
        <v>2.4900000000000002</v>
      </c>
      <c r="H41" s="39">
        <f>F41*E41</f>
        <v>0</v>
      </c>
      <c r="I41" s="4"/>
      <c r="J41" s="4"/>
      <c r="K41" s="4"/>
      <c r="L41" s="4"/>
      <c r="M41" s="4"/>
    </row>
    <row r="42" spans="1:13" x14ac:dyDescent="0.25">
      <c r="A42" s="4" t="s">
        <v>34</v>
      </c>
      <c r="B42" s="89">
        <f>'Universal Input Prices'!$B$35</f>
        <v>5.3999999999999999E-2</v>
      </c>
      <c r="C42" s="119"/>
      <c r="D42" s="22"/>
      <c r="E42" s="36"/>
      <c r="F42" s="158">
        <f>(SUM(F15:F23,F26:F41))*$B42/2.4</f>
        <v>2.6991891246149997</v>
      </c>
      <c r="G42" s="158">
        <f>(SUM(G15:G23,G26:G41))*$B42/2</f>
        <v>2.5377542620379998</v>
      </c>
      <c r="H42" s="158">
        <f>(SUM(H15:H23,H26:H41))*$B42/2</f>
        <v>0.70127268750000005</v>
      </c>
      <c r="I42" s="4"/>
      <c r="J42" s="4"/>
      <c r="K42" s="4"/>
      <c r="L42" s="4"/>
      <c r="M42" s="4"/>
    </row>
    <row r="43" spans="1:13" x14ac:dyDescent="0.25">
      <c r="A43" s="4"/>
      <c r="B43" s="10"/>
      <c r="C43" s="119"/>
      <c r="D43" s="8"/>
      <c r="E43" s="35"/>
      <c r="F43" s="39"/>
      <c r="G43" s="39"/>
      <c r="H43" s="39"/>
      <c r="I43" s="4"/>
      <c r="J43" s="4"/>
      <c r="K43" s="4"/>
      <c r="L43" s="4"/>
      <c r="M43" s="4"/>
    </row>
    <row r="44" spans="1:13" x14ac:dyDescent="0.25">
      <c r="A44" s="4" t="s">
        <v>205</v>
      </c>
      <c r="B44" s="10"/>
      <c r="C44" s="119"/>
      <c r="D44" s="8"/>
      <c r="E44" s="38"/>
      <c r="F44" s="39">
        <f>SUM(F15:F42)</f>
        <v>152.16315021861502</v>
      </c>
      <c r="G44" s="39">
        <f>SUM(G15:G42)</f>
        <v>126.02865285603801</v>
      </c>
      <c r="H44" s="39">
        <f>SUM(H15:H42)</f>
        <v>26.674335187500002</v>
      </c>
      <c r="I44" s="4"/>
      <c r="J44" s="4"/>
      <c r="K44" s="4"/>
      <c r="L44" s="4"/>
      <c r="M44" s="4"/>
    </row>
    <row r="45" spans="1:13" ht="13.8" x14ac:dyDescent="0.25">
      <c r="A45" s="12" t="s">
        <v>206</v>
      </c>
      <c r="B45" s="10"/>
      <c r="C45" s="119"/>
      <c r="D45" s="8"/>
      <c r="E45" s="35"/>
      <c r="F45" s="72">
        <f>F12-F44</f>
        <v>12.836849781384984</v>
      </c>
      <c r="G45" s="72">
        <f>G12-G44</f>
        <v>-15.478652856038025</v>
      </c>
      <c r="H45" s="72">
        <f>H12-H44</f>
        <v>27.775664812500001</v>
      </c>
      <c r="I45" s="4"/>
      <c r="J45" s="4"/>
      <c r="K45" s="4"/>
      <c r="L45" s="4"/>
      <c r="M45" s="4"/>
    </row>
    <row r="46" spans="1:13" x14ac:dyDescent="0.25">
      <c r="A46" s="4"/>
      <c r="B46" s="10"/>
      <c r="C46" s="119"/>
      <c r="D46" s="8"/>
      <c r="E46" s="35"/>
      <c r="F46" s="39"/>
      <c r="G46" s="39"/>
      <c r="H46" s="39"/>
      <c r="I46" s="4"/>
      <c r="J46" s="4"/>
      <c r="K46" s="4"/>
      <c r="L46" s="4"/>
      <c r="M46" s="4"/>
    </row>
    <row r="47" spans="1:13" x14ac:dyDescent="0.25">
      <c r="A47" s="4" t="s">
        <v>208</v>
      </c>
      <c r="B47" s="10"/>
      <c r="C47" s="119"/>
      <c r="D47" s="8"/>
      <c r="E47" s="45"/>
      <c r="F47" s="39"/>
      <c r="G47" s="39"/>
      <c r="H47" s="39"/>
      <c r="I47" s="4"/>
      <c r="J47" s="4"/>
      <c r="K47" s="4"/>
      <c r="L47" s="4"/>
      <c r="M47" s="4"/>
    </row>
    <row r="48" spans="1:13" x14ac:dyDescent="0.25">
      <c r="A48" s="7" t="s">
        <v>31</v>
      </c>
      <c r="B48" s="5">
        <v>1</v>
      </c>
      <c r="C48" s="119" t="s">
        <v>14</v>
      </c>
      <c r="D48" s="14">
        <v>14.08</v>
      </c>
      <c r="E48" s="34">
        <v>0</v>
      </c>
      <c r="F48" s="39">
        <f t="shared" ref="F48:F53" si="3">D48*B48</f>
        <v>14.08</v>
      </c>
      <c r="G48" s="39">
        <f t="shared" ref="G48:G56" si="4">F48*(1-E48)</f>
        <v>14.08</v>
      </c>
      <c r="H48" s="39">
        <f t="shared" ref="H48:H56" si="5">F48*E48</f>
        <v>0</v>
      </c>
      <c r="I48" s="4"/>
      <c r="J48" s="4"/>
      <c r="K48" s="4"/>
      <c r="L48" s="4"/>
      <c r="M48" s="4"/>
    </row>
    <row r="49" spans="1:13" x14ac:dyDescent="0.25">
      <c r="A49" s="7" t="s">
        <v>2</v>
      </c>
      <c r="B49" s="5">
        <v>1</v>
      </c>
      <c r="C49" s="119" t="s">
        <v>14</v>
      </c>
      <c r="D49" s="14">
        <v>4.88</v>
      </c>
      <c r="E49" s="34">
        <v>0</v>
      </c>
      <c r="F49" s="39">
        <f t="shared" si="3"/>
        <v>4.88</v>
      </c>
      <c r="G49" s="39">
        <f t="shared" si="4"/>
        <v>4.88</v>
      </c>
      <c r="H49" s="39">
        <f t="shared" si="5"/>
        <v>0</v>
      </c>
      <c r="I49" s="4"/>
      <c r="J49" s="4"/>
      <c r="K49" s="4"/>
      <c r="L49" s="4"/>
      <c r="M49" s="4"/>
    </row>
    <row r="50" spans="1:13" x14ac:dyDescent="0.25">
      <c r="A50" s="7" t="s">
        <v>203</v>
      </c>
      <c r="B50" s="5">
        <v>1</v>
      </c>
      <c r="C50" s="119" t="s">
        <v>14</v>
      </c>
      <c r="D50" s="14">
        <v>0</v>
      </c>
      <c r="E50" s="34">
        <v>1</v>
      </c>
      <c r="F50" s="39">
        <f t="shared" si="3"/>
        <v>0</v>
      </c>
      <c r="G50" s="39">
        <f t="shared" si="4"/>
        <v>0</v>
      </c>
      <c r="H50" s="39">
        <f t="shared" si="5"/>
        <v>0</v>
      </c>
      <c r="I50" s="4"/>
      <c r="J50" s="4"/>
      <c r="K50" s="4"/>
      <c r="L50" s="4"/>
      <c r="M50" s="4"/>
    </row>
    <row r="51" spans="1:13" x14ac:dyDescent="0.25">
      <c r="A51" s="7" t="s">
        <v>204</v>
      </c>
      <c r="B51" s="5">
        <v>1</v>
      </c>
      <c r="C51" s="119" t="s">
        <v>14</v>
      </c>
      <c r="D51" s="14">
        <v>0</v>
      </c>
      <c r="E51" s="34">
        <v>1</v>
      </c>
      <c r="F51" s="39">
        <f t="shared" si="3"/>
        <v>0</v>
      </c>
      <c r="G51" s="39">
        <f t="shared" si="4"/>
        <v>0</v>
      </c>
      <c r="H51" s="39">
        <f t="shared" si="5"/>
        <v>0</v>
      </c>
      <c r="I51" s="4"/>
      <c r="J51" s="4"/>
      <c r="K51" s="4"/>
      <c r="L51" s="4"/>
      <c r="M51" s="4"/>
    </row>
    <row r="52" spans="1:13" x14ac:dyDescent="0.25">
      <c r="A52" s="7" t="s">
        <v>33</v>
      </c>
      <c r="B52" s="5">
        <v>1</v>
      </c>
      <c r="C52" s="119" t="s">
        <v>14</v>
      </c>
      <c r="D52" s="14">
        <v>3.63</v>
      </c>
      <c r="E52" s="34">
        <v>0</v>
      </c>
      <c r="F52" s="39">
        <f t="shared" si="3"/>
        <v>3.63</v>
      </c>
      <c r="G52" s="39">
        <f t="shared" si="4"/>
        <v>3.63</v>
      </c>
      <c r="H52" s="39">
        <f t="shared" si="5"/>
        <v>0</v>
      </c>
      <c r="I52" s="4"/>
      <c r="J52" s="4"/>
      <c r="K52" s="4"/>
      <c r="L52" s="4"/>
      <c r="M52" s="4"/>
    </row>
    <row r="53" spans="1:13" x14ac:dyDescent="0.25">
      <c r="A53" s="7" t="s">
        <v>35</v>
      </c>
      <c r="B53" s="5">
        <v>1</v>
      </c>
      <c r="C53" s="119" t="s">
        <v>14</v>
      </c>
      <c r="D53" s="14">
        <v>0</v>
      </c>
      <c r="E53" s="34">
        <v>0</v>
      </c>
      <c r="F53" s="39">
        <f t="shared" si="3"/>
        <v>0</v>
      </c>
      <c r="G53" s="39">
        <f t="shared" si="4"/>
        <v>0</v>
      </c>
      <c r="H53" s="39">
        <f t="shared" si="5"/>
        <v>0</v>
      </c>
      <c r="I53" s="4"/>
      <c r="J53" s="4"/>
      <c r="K53" s="4"/>
      <c r="L53" s="4"/>
      <c r="M53" s="4"/>
    </row>
    <row r="54" spans="1:13" x14ac:dyDescent="0.25">
      <c r="A54" s="7" t="s">
        <v>41</v>
      </c>
      <c r="B54" s="5">
        <v>1</v>
      </c>
      <c r="C54" s="119" t="s">
        <v>14</v>
      </c>
      <c r="D54" s="14">
        <v>0</v>
      </c>
      <c r="E54" s="34">
        <v>0</v>
      </c>
      <c r="F54" s="39">
        <f>B54*D54</f>
        <v>0</v>
      </c>
      <c r="G54" s="39">
        <f t="shared" si="4"/>
        <v>0</v>
      </c>
      <c r="H54" s="39">
        <f t="shared" si="5"/>
        <v>0</v>
      </c>
      <c r="I54" s="4"/>
      <c r="J54" s="4"/>
      <c r="K54" s="4"/>
      <c r="L54" s="4"/>
      <c r="M54" s="4"/>
    </row>
    <row r="55" spans="1:13" x14ac:dyDescent="0.25">
      <c r="A55" s="7" t="s">
        <v>36</v>
      </c>
      <c r="B55" s="43">
        <v>1</v>
      </c>
      <c r="C55" s="119" t="s">
        <v>14</v>
      </c>
      <c r="D55" s="14">
        <v>26.5</v>
      </c>
      <c r="E55" s="34">
        <v>1</v>
      </c>
      <c r="F55" s="39">
        <f>D55*B55</f>
        <v>26.5</v>
      </c>
      <c r="G55" s="39">
        <f>IF($H$6="Cash",D55,F55*(1-E55))</f>
        <v>0</v>
      </c>
      <c r="H55" s="39">
        <f>IF($H$6="Cash",0,F55*E55)</f>
        <v>26.5</v>
      </c>
      <c r="I55" s="4"/>
      <c r="J55" s="4"/>
      <c r="K55" s="4"/>
      <c r="L55" s="4"/>
      <c r="M55" s="4"/>
    </row>
    <row r="56" spans="1:13" x14ac:dyDescent="0.25">
      <c r="A56" s="7" t="s">
        <v>42</v>
      </c>
      <c r="B56" s="43">
        <v>1</v>
      </c>
      <c r="C56" s="119" t="s">
        <v>14</v>
      </c>
      <c r="D56" s="14">
        <v>0</v>
      </c>
      <c r="E56" s="34">
        <v>1</v>
      </c>
      <c r="F56" s="39">
        <f>B56*D56</f>
        <v>0</v>
      </c>
      <c r="G56" s="39">
        <f t="shared" si="4"/>
        <v>0</v>
      </c>
      <c r="H56" s="39">
        <f t="shared" si="5"/>
        <v>0</v>
      </c>
      <c r="I56" s="4"/>
      <c r="J56" s="4"/>
      <c r="K56" s="4"/>
      <c r="L56" s="4"/>
      <c r="M56" s="4"/>
    </row>
    <row r="57" spans="1:13" x14ac:dyDescent="0.25">
      <c r="A57" s="4" t="s">
        <v>37</v>
      </c>
      <c r="B57" s="5"/>
      <c r="C57" s="119"/>
      <c r="D57" s="10"/>
      <c r="E57" s="36"/>
      <c r="F57" s="39">
        <f>SUM(F48:F56)</f>
        <v>49.09</v>
      </c>
      <c r="G57" s="39">
        <f>SUM(G48:G56)</f>
        <v>22.59</v>
      </c>
      <c r="H57" s="39">
        <f>SUM(H48:H56)</f>
        <v>26.5</v>
      </c>
      <c r="I57" s="4"/>
      <c r="J57" s="4"/>
      <c r="K57" s="4"/>
      <c r="L57" s="4"/>
      <c r="M57" s="4"/>
    </row>
    <row r="58" spans="1:13" x14ac:dyDescent="0.25">
      <c r="A58" s="4" t="s">
        <v>38</v>
      </c>
      <c r="B58" s="5"/>
      <c r="C58" s="119"/>
      <c r="D58" s="10"/>
      <c r="E58" s="36"/>
      <c r="F58" s="39">
        <f>F44+F57</f>
        <v>201.25315021861502</v>
      </c>
      <c r="G58" s="39">
        <f>G44+G57</f>
        <v>148.61865285603801</v>
      </c>
      <c r="H58" s="39">
        <f>H44+H57</f>
        <v>53.174335187500006</v>
      </c>
      <c r="I58" s="4"/>
      <c r="J58" s="4"/>
      <c r="K58" s="4"/>
      <c r="L58" s="4"/>
      <c r="M58" s="4"/>
    </row>
    <row r="59" spans="1:13" ht="13.8" x14ac:dyDescent="0.25">
      <c r="A59" s="12" t="s">
        <v>39</v>
      </c>
      <c r="B59" s="5"/>
      <c r="C59" s="119"/>
      <c r="D59" s="10"/>
      <c r="E59" s="36"/>
      <c r="F59" s="72">
        <f>F12-F58</f>
        <v>-36.253150218615019</v>
      </c>
      <c r="G59" s="72">
        <f>G12-G58</f>
        <v>-38.068652856038028</v>
      </c>
      <c r="H59" s="72">
        <f>H12-H58</f>
        <v>1.275664812499997</v>
      </c>
      <c r="I59" s="4"/>
      <c r="J59" s="4"/>
      <c r="K59" s="4"/>
      <c r="L59" s="4"/>
      <c r="M59" s="4"/>
    </row>
    <row r="60" spans="1:13" x14ac:dyDescent="0.25">
      <c r="A60" s="4"/>
      <c r="B60" s="5"/>
      <c r="C60" s="119"/>
      <c r="D60" s="10"/>
      <c r="E60" s="36"/>
      <c r="F60" s="8"/>
      <c r="G60" s="8"/>
      <c r="H60" s="8"/>
      <c r="I60" s="4"/>
      <c r="J60" s="4"/>
      <c r="K60" s="4"/>
      <c r="L60" s="4"/>
      <c r="M60" s="4"/>
    </row>
    <row r="61" spans="1:13" ht="13.8" x14ac:dyDescent="0.25">
      <c r="A61" s="113" t="s">
        <v>161</v>
      </c>
      <c r="B61" s="113"/>
      <c r="C61" s="266"/>
      <c r="D61" s="113"/>
      <c r="E61" s="114"/>
      <c r="F61" s="115">
        <f>(F59/F58)</f>
        <v>-0.18013705713045661</v>
      </c>
      <c r="G61" s="115">
        <f t="shared" ref="G61:H61" si="6">(G59/G58)</f>
        <v>-0.25614989857910958</v>
      </c>
      <c r="H61" s="115">
        <f t="shared" si="6"/>
        <v>2.3990235289295628E-2</v>
      </c>
      <c r="I61" s="4"/>
      <c r="J61" s="4"/>
      <c r="K61" s="4"/>
      <c r="L61" s="4"/>
      <c r="M61" s="4"/>
    </row>
    <row r="62" spans="1:13" x14ac:dyDescent="0.25">
      <c r="B62" s="41"/>
      <c r="C62" s="270"/>
      <c r="D62" s="46"/>
      <c r="E62" s="36"/>
      <c r="F62" s="42"/>
      <c r="G62" s="4"/>
      <c r="H62" s="4"/>
      <c r="I62" s="4"/>
      <c r="J62" s="4"/>
      <c r="K62" s="4"/>
      <c r="L62" s="4"/>
      <c r="M62" s="4"/>
    </row>
    <row r="63" spans="1:13" x14ac:dyDescent="0.25">
      <c r="B63" s="4"/>
      <c r="C63" s="4"/>
      <c r="D63" s="4"/>
      <c r="E63" s="10"/>
      <c r="F63" s="4"/>
      <c r="G63" s="4"/>
      <c r="H63" s="4"/>
      <c r="I63" s="4"/>
      <c r="J63" s="4"/>
      <c r="K63" s="4"/>
      <c r="L63" s="4"/>
      <c r="M63" s="4"/>
    </row>
    <row r="64" spans="1:13" x14ac:dyDescent="0.25">
      <c r="B64" s="4"/>
      <c r="C64" s="4"/>
      <c r="D64" s="4"/>
      <c r="E64" s="10"/>
      <c r="F64" s="4"/>
      <c r="G64" s="4"/>
      <c r="H64" s="4"/>
      <c r="I64" s="4"/>
      <c r="J64" s="4"/>
      <c r="K64" s="4"/>
      <c r="L64" s="4"/>
      <c r="M64" s="4"/>
    </row>
    <row r="65" spans="2:13" x14ac:dyDescent="0.25">
      <c r="B65" s="4"/>
      <c r="C65" s="4"/>
      <c r="D65" s="4"/>
      <c r="E65" s="10"/>
      <c r="F65" s="4"/>
      <c r="G65" s="4"/>
      <c r="H65" s="4"/>
      <c r="I65" s="4"/>
      <c r="J65" s="4"/>
      <c r="K65" s="4"/>
      <c r="L65" s="4"/>
      <c r="M65" s="4"/>
    </row>
    <row r="66" spans="2:13" x14ac:dyDescent="0.25">
      <c r="B66" s="4"/>
      <c r="C66" s="4"/>
      <c r="D66" s="4"/>
      <c r="E66" s="4"/>
      <c r="F66" s="4"/>
      <c r="G66" s="4"/>
      <c r="H66" s="4"/>
      <c r="I66" s="4"/>
      <c r="J66" s="4"/>
      <c r="K66" s="4"/>
      <c r="L66" s="4"/>
      <c r="M66" s="4"/>
    </row>
    <row r="67" spans="2:13" x14ac:dyDescent="0.25">
      <c r="B67" s="4"/>
      <c r="C67" s="4"/>
      <c r="D67" s="4"/>
      <c r="E67" s="46"/>
      <c r="F67" s="4"/>
      <c r="G67" s="4"/>
      <c r="H67" s="4"/>
      <c r="I67" s="4"/>
      <c r="J67" s="4"/>
      <c r="K67" s="4"/>
      <c r="L67" s="4"/>
      <c r="M67" s="4"/>
    </row>
    <row r="68" spans="2:13" x14ac:dyDescent="0.25">
      <c r="B68" s="4"/>
      <c r="C68" s="4"/>
      <c r="D68" s="4"/>
      <c r="E68" s="4"/>
      <c r="F68" s="4"/>
      <c r="G68" s="4"/>
      <c r="H68" s="4"/>
      <c r="I68" s="4"/>
      <c r="J68" s="4"/>
      <c r="K68" s="4"/>
      <c r="L68" s="4"/>
      <c r="M68" s="4"/>
    </row>
    <row r="69" spans="2:13" x14ac:dyDescent="0.25">
      <c r="B69" s="4"/>
      <c r="C69" s="4"/>
      <c r="D69" s="4"/>
      <c r="E69" s="4"/>
      <c r="F69" s="4"/>
      <c r="G69" s="4"/>
      <c r="H69" s="4"/>
      <c r="I69" s="4"/>
      <c r="J69" s="4"/>
      <c r="K69" s="4"/>
      <c r="L69" s="4"/>
      <c r="M69" s="4"/>
    </row>
    <row r="70" spans="2:13" x14ac:dyDescent="0.25">
      <c r="B70" s="4"/>
      <c r="C70" s="4"/>
      <c r="D70" s="4"/>
      <c r="E70" s="4"/>
      <c r="F70" s="4"/>
      <c r="G70" s="4"/>
      <c r="H70" s="4"/>
      <c r="I70" s="4"/>
      <c r="J70" s="4"/>
      <c r="K70" s="4"/>
      <c r="L70" s="4"/>
      <c r="M70" s="4"/>
    </row>
    <row r="71" spans="2:13" x14ac:dyDescent="0.25">
      <c r="B71" s="4"/>
      <c r="C71" s="4"/>
      <c r="D71" s="4"/>
      <c r="E71" s="4"/>
      <c r="F71" s="4"/>
      <c r="G71" s="4"/>
      <c r="H71" s="4"/>
      <c r="I71" s="4"/>
      <c r="J71" s="4"/>
      <c r="K71" s="4"/>
      <c r="L71" s="4"/>
      <c r="M71" s="4"/>
    </row>
    <row r="72" spans="2:13" x14ac:dyDescent="0.25">
      <c r="I72" s="4"/>
      <c r="J72" s="4"/>
      <c r="K72" s="4"/>
      <c r="L72" s="4"/>
      <c r="M72" s="4"/>
    </row>
    <row r="73" spans="2:13" x14ac:dyDescent="0.25">
      <c r="I73" s="4"/>
      <c r="J73" s="4"/>
      <c r="K73" s="4"/>
      <c r="L73" s="4"/>
      <c r="M73" s="4"/>
    </row>
    <row r="74" spans="2:13" x14ac:dyDescent="0.25">
      <c r="I74" s="4"/>
      <c r="J74" s="4"/>
      <c r="K74" s="4"/>
      <c r="L74" s="4"/>
      <c r="M74" s="4"/>
    </row>
    <row r="75" spans="2:13" x14ac:dyDescent="0.25">
      <c r="J75" s="4"/>
      <c r="K75" s="4"/>
      <c r="L75" s="4"/>
      <c r="M75"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19">
      <formula1>Fert_Names</formula1>
    </dataValidation>
  </dataValidations>
  <printOptions horizontalCentered="1"/>
  <pageMargins left="0.25" right="0.25" top="0.75" bottom="0.75" header="0.3" footer="0.3"/>
  <pageSetup scale="82"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1">
    <pageSetUpPr fitToPage="1"/>
  </sheetPr>
  <dimension ref="A1:R70"/>
  <sheetViews>
    <sheetView showGridLines="0" showRowColHeaders="0" zoomScale="90" zoomScaleNormal="90" workbookViewId="0">
      <pane ySplit="7" topLeftCell="A39" activePane="bottomLeft" state="frozen"/>
      <selection activeCell="B9" sqref="B9"/>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118</v>
      </c>
      <c r="B3" s="319"/>
      <c r="C3" s="319"/>
      <c r="D3" s="319"/>
      <c r="E3" s="319"/>
      <c r="F3" s="319"/>
      <c r="G3" s="319"/>
      <c r="H3" s="319"/>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53" t="s">
        <v>4</v>
      </c>
      <c r="C6" s="53" t="s">
        <v>5</v>
      </c>
      <c r="D6" s="53" t="s">
        <v>6</v>
      </c>
      <c r="E6" s="53" t="s">
        <v>53</v>
      </c>
      <c r="F6" s="244"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119"/>
      <c r="D8" s="5"/>
      <c r="E8" s="5"/>
      <c r="F8" s="5"/>
      <c r="G8" s="5"/>
      <c r="H8" s="5"/>
    </row>
    <row r="9" spans="1:18" x14ac:dyDescent="0.25">
      <c r="A9" s="7" t="s">
        <v>50</v>
      </c>
      <c r="B9" s="23">
        <v>20</v>
      </c>
      <c r="C9" s="128" t="s">
        <v>80</v>
      </c>
      <c r="D9" s="55">
        <f>'Universal Input Prices'!$B$18</f>
        <v>3.95</v>
      </c>
      <c r="E9" s="34">
        <v>0.33</v>
      </c>
      <c r="F9" s="39">
        <f>D9*B9</f>
        <v>79</v>
      </c>
      <c r="G9" s="39">
        <f>F9*(1-E9)</f>
        <v>52.929999999999993</v>
      </c>
      <c r="H9" s="39">
        <f>IF(H6="Cash", D55,F9*E9)</f>
        <v>26.07</v>
      </c>
    </row>
    <row r="10" spans="1:18" x14ac:dyDescent="0.25">
      <c r="A10" s="7" t="s">
        <v>44</v>
      </c>
      <c r="B10" s="33">
        <v>73</v>
      </c>
      <c r="C10" s="128" t="s">
        <v>79</v>
      </c>
      <c r="D10" s="54">
        <f>Grazing_Price</f>
        <v>0.4</v>
      </c>
      <c r="E10" s="34">
        <v>0.33</v>
      </c>
      <c r="F10" s="39">
        <f>D10*B10</f>
        <v>29.200000000000003</v>
      </c>
      <c r="G10" s="39">
        <f>F10*(1-E10)</f>
        <v>19.564</v>
      </c>
      <c r="H10" s="39">
        <f>IF(H6="Cash", 0,F10*E10)</f>
        <v>9.636000000000001</v>
      </c>
    </row>
    <row r="11" spans="1:18" x14ac:dyDescent="0.25">
      <c r="A11" s="7" t="s">
        <v>263</v>
      </c>
      <c r="B11" s="47">
        <v>0</v>
      </c>
      <c r="C11" s="119" t="s">
        <v>264</v>
      </c>
      <c r="D11" s="55">
        <v>1</v>
      </c>
      <c r="E11" s="34">
        <v>0.33</v>
      </c>
      <c r="F11" s="39">
        <f>D11*B11</f>
        <v>0</v>
      </c>
      <c r="G11" s="39">
        <f>F11*(1-E11)</f>
        <v>0</v>
      </c>
      <c r="H11" s="39">
        <f>IF(H8="Cash", D59,F11*E11)</f>
        <v>0</v>
      </c>
      <c r="I11" s="4"/>
    </row>
    <row r="12" spans="1:18" x14ac:dyDescent="0.25">
      <c r="A12" s="9"/>
      <c r="B12" s="21"/>
      <c r="C12" s="264"/>
      <c r="D12" s="8"/>
      <c r="E12" s="36"/>
      <c r="F12" s="39"/>
      <c r="G12" s="39"/>
      <c r="H12" s="39"/>
    </row>
    <row r="13" spans="1:18" x14ac:dyDescent="0.25">
      <c r="A13" s="4" t="s">
        <v>12</v>
      </c>
      <c r="B13" s="5"/>
      <c r="C13" s="119"/>
      <c r="D13" s="8"/>
      <c r="E13" s="36"/>
      <c r="F13" s="39">
        <f>SUM(F8:F12)</f>
        <v>108.2</v>
      </c>
      <c r="G13" s="39">
        <f t="shared" ref="G13:H13" si="0">SUM(G8:G12)</f>
        <v>72.494</v>
      </c>
      <c r="H13" s="39">
        <f t="shared" si="0"/>
        <v>35.706000000000003</v>
      </c>
    </row>
    <row r="14" spans="1:18" x14ac:dyDescent="0.25">
      <c r="A14" s="4"/>
      <c r="B14" s="5"/>
      <c r="C14" s="119"/>
      <c r="D14" s="8"/>
      <c r="E14" s="36"/>
      <c r="F14" s="39"/>
      <c r="G14" s="39"/>
      <c r="H14" s="39"/>
    </row>
    <row r="15" spans="1:18" x14ac:dyDescent="0.25">
      <c r="A15" s="4" t="s">
        <v>207</v>
      </c>
      <c r="B15" s="5"/>
      <c r="C15" s="119"/>
      <c r="D15" s="8"/>
      <c r="E15" s="36"/>
      <c r="F15" s="39"/>
      <c r="G15" s="39"/>
      <c r="H15" s="39"/>
    </row>
    <row r="16" spans="1:18" x14ac:dyDescent="0.25">
      <c r="A16" s="4" t="s">
        <v>1</v>
      </c>
      <c r="B16" s="28">
        <v>1</v>
      </c>
      <c r="C16" s="128" t="s">
        <v>80</v>
      </c>
      <c r="D16" s="13">
        <v>6</v>
      </c>
      <c r="E16" s="34">
        <v>0</v>
      </c>
      <c r="F16" s="39">
        <f>D16*B16</f>
        <v>6</v>
      </c>
      <c r="G16" s="39">
        <f>F16*(1-E16)</f>
        <v>6</v>
      </c>
      <c r="H16" s="39">
        <f>F16*E16</f>
        <v>0</v>
      </c>
    </row>
    <row r="17" spans="1:15" x14ac:dyDescent="0.25">
      <c r="A17" s="4" t="s">
        <v>0</v>
      </c>
      <c r="B17" s="26"/>
      <c r="C17" s="119"/>
      <c r="D17" s="15"/>
      <c r="E17" s="36"/>
      <c r="F17" s="39"/>
      <c r="G17" s="39"/>
      <c r="H17" s="39"/>
    </row>
    <row r="18" spans="1:15" x14ac:dyDescent="0.25">
      <c r="A18" s="302" t="s">
        <v>255</v>
      </c>
      <c r="B18" s="24">
        <v>30</v>
      </c>
      <c r="C18" s="119" t="s">
        <v>79</v>
      </c>
      <c r="D18" s="54">
        <f>IF(A18="",0,VLOOKUP(A18,'Universal Input Prices'!$A$26:$B$30, 2))</f>
        <v>0.25000000000000006</v>
      </c>
      <c r="E18" s="34">
        <v>0.33</v>
      </c>
      <c r="F18" s="39">
        <f>D18*B18</f>
        <v>7.5000000000000018</v>
      </c>
      <c r="G18" s="39">
        <f>F18*(1-E18)</f>
        <v>5.0250000000000004</v>
      </c>
      <c r="H18" s="39">
        <f>F18*E18</f>
        <v>2.4750000000000005</v>
      </c>
    </row>
    <row r="19" spans="1:15" x14ac:dyDescent="0.25">
      <c r="A19" s="302"/>
      <c r="B19" s="24">
        <v>0</v>
      </c>
      <c r="C19" s="119" t="s">
        <v>79</v>
      </c>
      <c r="D19" s="54">
        <f>IF(A19="",0,VLOOKUP(A19,'Universal Input Prices'!$A$26:$B$30, 2))</f>
        <v>0</v>
      </c>
      <c r="E19" s="34">
        <v>0</v>
      </c>
      <c r="F19" s="39">
        <f>D19*B19</f>
        <v>0</v>
      </c>
      <c r="G19" s="39">
        <f>F19*(1-E19)</f>
        <v>0</v>
      </c>
      <c r="H19" s="39">
        <f>F19*E19</f>
        <v>0</v>
      </c>
      <c r="I19" s="4"/>
    </row>
    <row r="20" spans="1:15" x14ac:dyDescent="0.25">
      <c r="A20" s="302"/>
      <c r="B20" s="24">
        <v>0</v>
      </c>
      <c r="C20" s="119" t="s">
        <v>79</v>
      </c>
      <c r="D20" s="54">
        <f>IF(A20="",0,VLOOKUP(A20,'Universal Input Prices'!$A$26:$B$30, 2))</f>
        <v>0</v>
      </c>
      <c r="E20" s="34">
        <v>0</v>
      </c>
      <c r="F20" s="39">
        <f>D20*B20</f>
        <v>0</v>
      </c>
      <c r="G20" s="39">
        <f>F20*(1-E20)</f>
        <v>0</v>
      </c>
      <c r="H20" s="39">
        <f>F20*E20</f>
        <v>0</v>
      </c>
      <c r="I20" s="4"/>
    </row>
    <row r="21" spans="1:15" x14ac:dyDescent="0.25">
      <c r="A21" s="4" t="s">
        <v>15</v>
      </c>
      <c r="B21" s="27"/>
      <c r="C21" s="119"/>
      <c r="D21" s="8"/>
      <c r="E21" s="36"/>
      <c r="F21" s="39"/>
      <c r="G21" s="39"/>
      <c r="H21" s="39"/>
    </row>
    <row r="22" spans="1:15" x14ac:dyDescent="0.25">
      <c r="A22" s="2" t="s">
        <v>236</v>
      </c>
      <c r="B22" s="24">
        <v>1</v>
      </c>
      <c r="C22" s="119" t="s">
        <v>14</v>
      </c>
      <c r="D22" s="14">
        <v>0</v>
      </c>
      <c r="E22" s="34">
        <v>0.33</v>
      </c>
      <c r="F22" s="39">
        <f t="shared" ref="F22:F35" si="1">D22*B22</f>
        <v>0</v>
      </c>
      <c r="G22" s="39">
        <f t="shared" ref="G22:G35" si="2">F22*(1-E22)</f>
        <v>0</v>
      </c>
      <c r="H22" s="39">
        <f t="shared" ref="H22:H35" si="3">F22*E22</f>
        <v>0</v>
      </c>
    </row>
    <row r="23" spans="1:15" x14ac:dyDescent="0.25">
      <c r="A23" s="7" t="s">
        <v>43</v>
      </c>
      <c r="B23" s="24">
        <v>1</v>
      </c>
      <c r="C23" s="119" t="s">
        <v>14</v>
      </c>
      <c r="D23" s="14">
        <v>15</v>
      </c>
      <c r="E23" s="34">
        <v>0.33</v>
      </c>
      <c r="F23" s="39">
        <f t="shared" si="1"/>
        <v>15</v>
      </c>
      <c r="G23" s="39">
        <f t="shared" si="2"/>
        <v>10.049999999999999</v>
      </c>
      <c r="H23" s="39">
        <f t="shared" si="3"/>
        <v>4.95</v>
      </c>
      <c r="L23" s="52"/>
    </row>
    <row r="24" spans="1:15" x14ac:dyDescent="0.25">
      <c r="A24" s="2" t="s">
        <v>237</v>
      </c>
      <c r="B24" s="24">
        <v>1</v>
      </c>
      <c r="C24" s="119" t="s">
        <v>14</v>
      </c>
      <c r="D24" s="14">
        <v>0</v>
      </c>
      <c r="E24" s="34">
        <v>0.33</v>
      </c>
      <c r="F24" s="39">
        <f t="shared" si="1"/>
        <v>0</v>
      </c>
      <c r="G24" s="39">
        <f t="shared" si="2"/>
        <v>0</v>
      </c>
      <c r="H24" s="39">
        <f t="shared" si="3"/>
        <v>0</v>
      </c>
    </row>
    <row r="25" spans="1:15" x14ac:dyDescent="0.25">
      <c r="A25" s="2" t="s">
        <v>47</v>
      </c>
      <c r="B25" s="27">
        <v>1</v>
      </c>
      <c r="C25" s="119" t="s">
        <v>14</v>
      </c>
      <c r="D25" s="14">
        <v>25</v>
      </c>
      <c r="E25" s="34">
        <v>0</v>
      </c>
      <c r="F25" s="39">
        <f t="shared" si="1"/>
        <v>25</v>
      </c>
      <c r="G25" s="39">
        <f t="shared" si="2"/>
        <v>25</v>
      </c>
      <c r="H25" s="39">
        <f t="shared" si="3"/>
        <v>0</v>
      </c>
    </row>
    <row r="26" spans="1:15" x14ac:dyDescent="0.25">
      <c r="A26" s="2" t="s">
        <v>47</v>
      </c>
      <c r="B26" s="27">
        <f>B9</f>
        <v>20</v>
      </c>
      <c r="C26" s="128" t="s">
        <v>80</v>
      </c>
      <c r="D26" s="14">
        <v>0.25</v>
      </c>
      <c r="E26" s="34">
        <v>0</v>
      </c>
      <c r="F26" s="39">
        <f>D26*B26</f>
        <v>5</v>
      </c>
      <c r="G26" s="39">
        <f t="shared" si="2"/>
        <v>5</v>
      </c>
      <c r="H26" s="39">
        <f t="shared" si="3"/>
        <v>0</v>
      </c>
    </row>
    <row r="27" spans="1:15" x14ac:dyDescent="0.25">
      <c r="A27" s="7" t="s">
        <v>20</v>
      </c>
      <c r="B27" s="24">
        <v>0</v>
      </c>
      <c r="C27" s="119" t="s">
        <v>14</v>
      </c>
      <c r="D27" s="14">
        <v>0</v>
      </c>
      <c r="E27" s="34">
        <v>0</v>
      </c>
      <c r="F27" s="39">
        <f t="shared" si="1"/>
        <v>0</v>
      </c>
      <c r="G27" s="39">
        <f t="shared" si="2"/>
        <v>0</v>
      </c>
      <c r="H27" s="39">
        <f t="shared" si="3"/>
        <v>0</v>
      </c>
      <c r="O27" s="90"/>
    </row>
    <row r="28" spans="1:15" x14ac:dyDescent="0.25">
      <c r="A28" s="2" t="s">
        <v>21</v>
      </c>
      <c r="B28" s="24">
        <v>1</v>
      </c>
      <c r="C28" s="119" t="s">
        <v>14</v>
      </c>
      <c r="D28" s="14">
        <v>0</v>
      </c>
      <c r="E28" s="34">
        <v>0</v>
      </c>
      <c r="F28" s="39">
        <f>D28*B28</f>
        <v>0</v>
      </c>
      <c r="G28" s="39">
        <f>F28*(1-E28)</f>
        <v>0</v>
      </c>
      <c r="H28" s="39">
        <f>F28*E28</f>
        <v>0</v>
      </c>
    </row>
    <row r="29" spans="1:15" x14ac:dyDescent="0.25">
      <c r="A29" s="16" t="s">
        <v>40</v>
      </c>
      <c r="B29" s="24">
        <v>1</v>
      </c>
      <c r="C29" s="265" t="s">
        <v>14</v>
      </c>
      <c r="D29" s="14">
        <v>0</v>
      </c>
      <c r="E29" s="34">
        <v>0</v>
      </c>
      <c r="F29" s="39">
        <f t="shared" si="1"/>
        <v>0</v>
      </c>
      <c r="G29" s="39">
        <f t="shared" si="2"/>
        <v>0</v>
      </c>
      <c r="H29" s="39">
        <f t="shared" si="3"/>
        <v>0</v>
      </c>
    </row>
    <row r="30" spans="1:15" x14ac:dyDescent="0.25">
      <c r="A30" s="16" t="s">
        <v>40</v>
      </c>
      <c r="B30" s="24">
        <v>1</v>
      </c>
      <c r="C30" s="265" t="s">
        <v>14</v>
      </c>
      <c r="D30" s="14">
        <v>0</v>
      </c>
      <c r="E30" s="34">
        <v>0</v>
      </c>
      <c r="F30" s="39">
        <f t="shared" si="1"/>
        <v>0</v>
      </c>
      <c r="G30" s="39">
        <f t="shared" si="2"/>
        <v>0</v>
      </c>
      <c r="H30" s="39">
        <f t="shared" si="3"/>
        <v>0</v>
      </c>
    </row>
    <row r="31" spans="1:15" x14ac:dyDescent="0.25">
      <c r="A31" s="16" t="s">
        <v>40</v>
      </c>
      <c r="B31" s="24">
        <v>1</v>
      </c>
      <c r="C31" s="265" t="s">
        <v>14</v>
      </c>
      <c r="D31" s="14">
        <v>0</v>
      </c>
      <c r="E31" s="34">
        <v>0</v>
      </c>
      <c r="F31" s="39">
        <f t="shared" si="1"/>
        <v>0</v>
      </c>
      <c r="G31" s="39">
        <f t="shared" si="2"/>
        <v>0</v>
      </c>
      <c r="H31" s="39">
        <f t="shared" si="3"/>
        <v>0</v>
      </c>
    </row>
    <row r="32" spans="1:15" x14ac:dyDescent="0.25">
      <c r="A32" s="4" t="s">
        <v>22</v>
      </c>
      <c r="B32" s="24">
        <v>1</v>
      </c>
      <c r="C32" s="119" t="s">
        <v>14</v>
      </c>
      <c r="D32" s="14">
        <v>15</v>
      </c>
      <c r="E32" s="34">
        <v>0.33</v>
      </c>
      <c r="F32" s="39">
        <f t="shared" si="1"/>
        <v>15</v>
      </c>
      <c r="G32" s="39">
        <f t="shared" si="2"/>
        <v>10.049999999999999</v>
      </c>
      <c r="H32" s="39">
        <f t="shared" si="3"/>
        <v>4.95</v>
      </c>
    </row>
    <row r="33" spans="1:8" x14ac:dyDescent="0.25">
      <c r="A33" s="4" t="s">
        <v>140</v>
      </c>
      <c r="B33" s="28">
        <v>0.85499999999999998</v>
      </c>
      <c r="C33" s="119" t="s">
        <v>23</v>
      </c>
      <c r="D33" s="55">
        <f>'Universal Input Prices'!$B$31</f>
        <v>12.45</v>
      </c>
      <c r="E33" s="34">
        <v>0</v>
      </c>
      <c r="F33" s="39">
        <f t="shared" si="1"/>
        <v>10.644749999999998</v>
      </c>
      <c r="G33" s="39">
        <f t="shared" si="2"/>
        <v>10.644749999999998</v>
      </c>
      <c r="H33" s="39">
        <f t="shared" si="3"/>
        <v>0</v>
      </c>
    </row>
    <row r="34" spans="1:8" x14ac:dyDescent="0.25">
      <c r="A34" s="4" t="s">
        <v>25</v>
      </c>
      <c r="B34" s="28">
        <v>2.2200000000000002</v>
      </c>
      <c r="C34" s="119" t="s">
        <v>26</v>
      </c>
      <c r="D34" s="55">
        <f>'Universal Input Prices'!$B$32</f>
        <v>1.81</v>
      </c>
      <c r="E34" s="34">
        <v>0</v>
      </c>
      <c r="F34" s="39">
        <f t="shared" si="1"/>
        <v>4.0182000000000002</v>
      </c>
      <c r="G34" s="39">
        <f t="shared" si="2"/>
        <v>4.0182000000000002</v>
      </c>
      <c r="H34" s="39">
        <f t="shared" si="3"/>
        <v>0</v>
      </c>
    </row>
    <row r="35" spans="1:8" x14ac:dyDescent="0.25">
      <c r="A35" s="4" t="s">
        <v>27</v>
      </c>
      <c r="B35" s="28">
        <v>2.0299999999999998</v>
      </c>
      <c r="C35" s="119" t="s">
        <v>26</v>
      </c>
      <c r="D35" s="55">
        <f>'Universal Input Prices'!$B$33</f>
        <v>1.9259999999999999</v>
      </c>
      <c r="E35" s="34">
        <v>0</v>
      </c>
      <c r="F35" s="39">
        <f t="shared" si="1"/>
        <v>3.9097799999999996</v>
      </c>
      <c r="G35" s="39">
        <f t="shared" si="2"/>
        <v>3.9097799999999996</v>
      </c>
      <c r="H35" s="39">
        <f t="shared" si="3"/>
        <v>0</v>
      </c>
    </row>
    <row r="36" spans="1:8" x14ac:dyDescent="0.25">
      <c r="A36" s="4" t="s">
        <v>30</v>
      </c>
      <c r="B36" s="5"/>
      <c r="C36" s="119"/>
      <c r="D36" s="15"/>
      <c r="E36" s="36"/>
      <c r="F36" s="39"/>
      <c r="G36" s="39"/>
      <c r="H36" s="39"/>
    </row>
    <row r="37" spans="1:8" x14ac:dyDescent="0.25">
      <c r="A37" s="7" t="s">
        <v>31</v>
      </c>
      <c r="B37" s="5">
        <v>1</v>
      </c>
      <c r="C37" s="119" t="s">
        <v>14</v>
      </c>
      <c r="D37" s="14">
        <v>10.59</v>
      </c>
      <c r="E37" s="34">
        <v>0</v>
      </c>
      <c r="F37" s="39">
        <f>D37*B37</f>
        <v>10.59</v>
      </c>
      <c r="G37" s="39">
        <f>F37*(1-E37)</f>
        <v>10.59</v>
      </c>
      <c r="H37" s="39">
        <f>F37*E37</f>
        <v>0</v>
      </c>
    </row>
    <row r="38" spans="1:8" x14ac:dyDescent="0.25">
      <c r="A38" s="7" t="s">
        <v>2</v>
      </c>
      <c r="B38" s="5">
        <v>1</v>
      </c>
      <c r="C38" s="119" t="s">
        <v>14</v>
      </c>
      <c r="D38" s="14">
        <v>4.18</v>
      </c>
      <c r="E38" s="34">
        <v>0</v>
      </c>
      <c r="F38" s="39">
        <f>D38*B38</f>
        <v>4.18</v>
      </c>
      <c r="G38" s="39">
        <f>F38*(1-E38)</f>
        <v>4.18</v>
      </c>
      <c r="H38" s="39">
        <f>F38*E38</f>
        <v>0</v>
      </c>
    </row>
    <row r="39" spans="1:8" x14ac:dyDescent="0.25">
      <c r="A39" s="7" t="s">
        <v>203</v>
      </c>
      <c r="B39" s="5">
        <v>1</v>
      </c>
      <c r="C39" s="119" t="s">
        <v>14</v>
      </c>
      <c r="D39" s="14">
        <v>0</v>
      </c>
      <c r="E39" s="34">
        <v>0</v>
      </c>
      <c r="F39" s="39">
        <v>0</v>
      </c>
      <c r="G39" s="39">
        <f>F39*(1-E39)</f>
        <v>0</v>
      </c>
      <c r="H39" s="39">
        <f>F39*E39</f>
        <v>0</v>
      </c>
    </row>
    <row r="40" spans="1:8" x14ac:dyDescent="0.25">
      <c r="A40" s="7" t="s">
        <v>204</v>
      </c>
      <c r="B40" s="5">
        <v>1</v>
      </c>
      <c r="C40" s="119" t="s">
        <v>14</v>
      </c>
      <c r="D40" s="14">
        <v>0</v>
      </c>
      <c r="E40" s="34">
        <v>1</v>
      </c>
      <c r="F40" s="39">
        <f>D40*B40</f>
        <v>0</v>
      </c>
      <c r="G40" s="39">
        <f>F40*(1-E40)</f>
        <v>0</v>
      </c>
      <c r="H40" s="39">
        <f>F40*E40</f>
        <v>0</v>
      </c>
    </row>
    <row r="41" spans="1:8" x14ac:dyDescent="0.25">
      <c r="A41" s="7" t="s">
        <v>33</v>
      </c>
      <c r="B41" s="5">
        <v>1</v>
      </c>
      <c r="C41" s="119" t="s">
        <v>14</v>
      </c>
      <c r="D41" s="14">
        <v>2.4900000000000002</v>
      </c>
      <c r="E41" s="34">
        <v>0</v>
      </c>
      <c r="F41" s="39">
        <f>D41*B41</f>
        <v>2.4900000000000002</v>
      </c>
      <c r="G41" s="39">
        <f>F41*(1-E41)</f>
        <v>2.4900000000000002</v>
      </c>
      <c r="H41" s="39">
        <f>F41*E41</f>
        <v>0</v>
      </c>
    </row>
    <row r="42" spans="1:8" x14ac:dyDescent="0.25">
      <c r="A42" s="4" t="s">
        <v>34</v>
      </c>
      <c r="B42" s="89">
        <f>'Universal Input Prices'!$B$35</f>
        <v>5.3999999999999999E-2</v>
      </c>
      <c r="C42" s="119"/>
      <c r="D42" s="22"/>
      <c r="E42" s="36"/>
      <c r="F42" s="158">
        <f>(SUM(F16:F24,F27:F41))*$B42/1.7</f>
        <v>2.5199808352941169</v>
      </c>
      <c r="G42" s="158">
        <f>(SUM(G16:G24,G27:G41))*$B42/2</f>
        <v>1.8078587099999996</v>
      </c>
      <c r="H42" s="158">
        <f>(SUM(H16:H24,H27:H41))*$B42/2</f>
        <v>0.33412500000000001</v>
      </c>
    </row>
    <row r="43" spans="1:8" x14ac:dyDescent="0.25">
      <c r="A43" s="4"/>
      <c r="B43" s="10"/>
      <c r="C43" s="119"/>
      <c r="D43" s="8"/>
      <c r="E43" s="36"/>
      <c r="F43" s="39"/>
      <c r="G43" s="39"/>
      <c r="H43" s="39"/>
    </row>
    <row r="44" spans="1:8" x14ac:dyDescent="0.25">
      <c r="A44" s="4" t="s">
        <v>205</v>
      </c>
      <c r="B44" s="10"/>
      <c r="C44" s="119"/>
      <c r="D44" s="8"/>
      <c r="E44" s="36"/>
      <c r="F44" s="39">
        <f>SUM(F16:F42)</f>
        <v>111.8527108352941</v>
      </c>
      <c r="G44" s="39">
        <f>SUM(G16:G42)</f>
        <v>98.765588709999989</v>
      </c>
      <c r="H44" s="39">
        <f>SUM(H16:H42)</f>
        <v>12.709125</v>
      </c>
    </row>
    <row r="45" spans="1:8" ht="13.8" x14ac:dyDescent="0.25">
      <c r="A45" s="12" t="s">
        <v>206</v>
      </c>
      <c r="B45" s="10"/>
      <c r="C45" s="119"/>
      <c r="D45" s="8"/>
      <c r="E45" s="36"/>
      <c r="F45" s="72">
        <f>F13-F44</f>
        <v>-3.6527108352941013</v>
      </c>
      <c r="G45" s="72">
        <f>G13-G44</f>
        <v>-26.271588709999989</v>
      </c>
      <c r="H45" s="72">
        <f>H13-H44</f>
        <v>22.996875000000003</v>
      </c>
    </row>
    <row r="46" spans="1:8" x14ac:dyDescent="0.25">
      <c r="A46" s="4"/>
      <c r="B46" s="10"/>
      <c r="C46" s="119"/>
      <c r="D46" s="8"/>
      <c r="E46" s="36"/>
      <c r="F46" s="39"/>
      <c r="G46" s="39"/>
      <c r="H46" s="39"/>
    </row>
    <row r="47" spans="1:8" x14ac:dyDescent="0.25">
      <c r="A47" s="4" t="s">
        <v>208</v>
      </c>
      <c r="B47" s="10"/>
      <c r="C47" s="119"/>
      <c r="D47" s="8"/>
      <c r="E47" s="36"/>
      <c r="F47" s="39"/>
      <c r="G47" s="39"/>
      <c r="H47" s="39"/>
    </row>
    <row r="48" spans="1:8" x14ac:dyDescent="0.25">
      <c r="A48" s="7" t="s">
        <v>31</v>
      </c>
      <c r="B48" s="5">
        <v>1</v>
      </c>
      <c r="C48" s="119" t="s">
        <v>14</v>
      </c>
      <c r="D48" s="14">
        <v>17.059999999999999</v>
      </c>
      <c r="E48" s="34">
        <v>0</v>
      </c>
      <c r="F48" s="39">
        <f t="shared" ref="F48:F53" si="4">D48*B48</f>
        <v>17.059999999999999</v>
      </c>
      <c r="G48" s="39">
        <f t="shared" ref="G48:G56" si="5">F48*(1-E48)</f>
        <v>17.059999999999999</v>
      </c>
      <c r="H48" s="39">
        <f t="shared" ref="H48:H56" si="6">F48*E48</f>
        <v>0</v>
      </c>
    </row>
    <row r="49" spans="1:8" x14ac:dyDescent="0.25">
      <c r="A49" s="7" t="s">
        <v>2</v>
      </c>
      <c r="B49" s="5">
        <v>1</v>
      </c>
      <c r="C49" s="119" t="s">
        <v>14</v>
      </c>
      <c r="D49" s="14">
        <v>5.99</v>
      </c>
      <c r="E49" s="34">
        <v>0</v>
      </c>
      <c r="F49" s="39">
        <f t="shared" si="4"/>
        <v>5.99</v>
      </c>
      <c r="G49" s="39">
        <f t="shared" si="5"/>
        <v>5.99</v>
      </c>
      <c r="H49" s="39">
        <f t="shared" si="6"/>
        <v>0</v>
      </c>
    </row>
    <row r="50" spans="1:8" x14ac:dyDescent="0.25">
      <c r="A50" s="7" t="s">
        <v>203</v>
      </c>
      <c r="B50" s="5">
        <v>1</v>
      </c>
      <c r="C50" s="119" t="s">
        <v>14</v>
      </c>
      <c r="D50" s="14">
        <v>0</v>
      </c>
      <c r="E50" s="34">
        <v>1</v>
      </c>
      <c r="F50" s="39">
        <f t="shared" si="4"/>
        <v>0</v>
      </c>
      <c r="G50" s="39">
        <f t="shared" si="5"/>
        <v>0</v>
      </c>
      <c r="H50" s="39">
        <f t="shared" si="6"/>
        <v>0</v>
      </c>
    </row>
    <row r="51" spans="1:8" x14ac:dyDescent="0.25">
      <c r="A51" s="7" t="s">
        <v>204</v>
      </c>
      <c r="B51" s="5">
        <v>1</v>
      </c>
      <c r="C51" s="119" t="s">
        <v>14</v>
      </c>
      <c r="D51" s="14">
        <v>0</v>
      </c>
      <c r="E51" s="34">
        <v>1</v>
      </c>
      <c r="F51" s="39">
        <f t="shared" si="4"/>
        <v>0</v>
      </c>
      <c r="G51" s="39">
        <f t="shared" si="5"/>
        <v>0</v>
      </c>
      <c r="H51" s="39">
        <f t="shared" si="6"/>
        <v>0</v>
      </c>
    </row>
    <row r="52" spans="1:8" x14ac:dyDescent="0.25">
      <c r="A52" s="7" t="s">
        <v>33</v>
      </c>
      <c r="B52" s="5">
        <v>1</v>
      </c>
      <c r="C52" s="119" t="s">
        <v>14</v>
      </c>
      <c r="D52" s="14">
        <v>3.63</v>
      </c>
      <c r="E52" s="34">
        <v>0</v>
      </c>
      <c r="F52" s="39">
        <f t="shared" si="4"/>
        <v>3.63</v>
      </c>
      <c r="G52" s="39">
        <f t="shared" si="5"/>
        <v>3.63</v>
      </c>
      <c r="H52" s="39">
        <f t="shared" si="6"/>
        <v>0</v>
      </c>
    </row>
    <row r="53" spans="1:8" x14ac:dyDescent="0.25">
      <c r="A53" s="7" t="s">
        <v>35</v>
      </c>
      <c r="B53" s="5">
        <v>1</v>
      </c>
      <c r="C53" s="119" t="s">
        <v>14</v>
      </c>
      <c r="D53" s="14">
        <v>0</v>
      </c>
      <c r="E53" s="34">
        <v>0</v>
      </c>
      <c r="F53" s="39">
        <f t="shared" si="4"/>
        <v>0</v>
      </c>
      <c r="G53" s="39">
        <f t="shared" si="5"/>
        <v>0</v>
      </c>
      <c r="H53" s="39">
        <f t="shared" si="6"/>
        <v>0</v>
      </c>
    </row>
    <row r="54" spans="1:8" x14ac:dyDescent="0.25">
      <c r="A54" s="7" t="s">
        <v>41</v>
      </c>
      <c r="B54" s="5">
        <v>1</v>
      </c>
      <c r="C54" s="119" t="s">
        <v>14</v>
      </c>
      <c r="D54" s="14">
        <v>0</v>
      </c>
      <c r="E54" s="34">
        <v>0</v>
      </c>
      <c r="F54" s="39">
        <f>B54*D54</f>
        <v>0</v>
      </c>
      <c r="G54" s="39">
        <f t="shared" si="5"/>
        <v>0</v>
      </c>
      <c r="H54" s="39">
        <f t="shared" si="6"/>
        <v>0</v>
      </c>
    </row>
    <row r="55" spans="1:8" x14ac:dyDescent="0.25">
      <c r="A55" s="7" t="s">
        <v>36</v>
      </c>
      <c r="B55" s="43">
        <v>1</v>
      </c>
      <c r="C55" s="119" t="s">
        <v>14</v>
      </c>
      <c r="D55" s="14">
        <v>26.5</v>
      </c>
      <c r="E55" s="34">
        <v>1</v>
      </c>
      <c r="F55" s="39">
        <f>D55*B55</f>
        <v>26.5</v>
      </c>
      <c r="G55" s="39">
        <f>IF($H$6="Cash",D55,F55*(1-E55))</f>
        <v>0</v>
      </c>
      <c r="H55" s="39">
        <f>IF($H$6="Cash",0,F55*E55)</f>
        <v>26.5</v>
      </c>
    </row>
    <row r="56" spans="1:8" x14ac:dyDescent="0.25">
      <c r="A56" s="7" t="s">
        <v>42</v>
      </c>
      <c r="B56" s="43">
        <v>1</v>
      </c>
      <c r="C56" s="119" t="s">
        <v>14</v>
      </c>
      <c r="D56" s="14">
        <v>0</v>
      </c>
      <c r="E56" s="34">
        <v>1</v>
      </c>
      <c r="F56" s="39">
        <f>B56*D56</f>
        <v>0</v>
      </c>
      <c r="G56" s="39">
        <f t="shared" si="5"/>
        <v>0</v>
      </c>
      <c r="H56" s="39">
        <f t="shared" si="6"/>
        <v>0</v>
      </c>
    </row>
    <row r="57" spans="1:8" x14ac:dyDescent="0.25">
      <c r="A57" s="4" t="s">
        <v>37</v>
      </c>
      <c r="B57" s="5"/>
      <c r="C57" s="119"/>
      <c r="D57" s="10"/>
      <c r="E57" s="36"/>
      <c r="F57" s="39">
        <f>SUM(F48:F56)</f>
        <v>53.179999999999993</v>
      </c>
      <c r="G57" s="39">
        <f>SUM(G48:G56)</f>
        <v>26.679999999999996</v>
      </c>
      <c r="H57" s="39">
        <f>SUM(H48:H56)</f>
        <v>26.5</v>
      </c>
    </row>
    <row r="58" spans="1:8" x14ac:dyDescent="0.25">
      <c r="A58" s="4" t="s">
        <v>38</v>
      </c>
      <c r="B58" s="5"/>
      <c r="C58" s="119"/>
      <c r="D58" s="10"/>
      <c r="E58" s="36"/>
      <c r="F58" s="39">
        <f>F44+F57</f>
        <v>165.0327108352941</v>
      </c>
      <c r="G58" s="39">
        <f>G44+G57</f>
        <v>125.44558870999998</v>
      </c>
      <c r="H58" s="39">
        <f>H44+H57</f>
        <v>39.209125</v>
      </c>
    </row>
    <row r="59" spans="1:8" ht="13.8" x14ac:dyDescent="0.25">
      <c r="A59" s="12" t="s">
        <v>39</v>
      </c>
      <c r="B59" s="5"/>
      <c r="C59" s="119"/>
      <c r="D59" s="10"/>
      <c r="E59" s="36"/>
      <c r="F59" s="72">
        <f>F13-F58</f>
        <v>-56.832710835294094</v>
      </c>
      <c r="G59" s="72">
        <f>G13-G58</f>
        <v>-52.951588709999982</v>
      </c>
      <c r="H59" s="72">
        <f>H13-H58</f>
        <v>-3.5031249999999972</v>
      </c>
    </row>
    <row r="60" spans="1:8" x14ac:dyDescent="0.25">
      <c r="A60" s="4"/>
      <c r="B60" s="5"/>
      <c r="C60" s="119"/>
      <c r="D60" s="10"/>
      <c r="E60" s="36"/>
      <c r="F60" s="8"/>
      <c r="G60" s="8"/>
      <c r="H60" s="8"/>
    </row>
    <row r="61" spans="1:8" ht="13.8" x14ac:dyDescent="0.25">
      <c r="A61" s="113" t="s">
        <v>161</v>
      </c>
      <c r="B61" s="113"/>
      <c r="C61" s="266"/>
      <c r="D61" s="113"/>
      <c r="E61" s="114"/>
      <c r="F61" s="115">
        <f>(F59/F58)</f>
        <v>-0.34437240076613818</v>
      </c>
      <c r="G61" s="115">
        <f t="shared" ref="G61:H61" si="7">(G59/G58)</f>
        <v>-0.42210801714527652</v>
      </c>
      <c r="H61" s="115">
        <f t="shared" si="7"/>
        <v>-8.9344635974406394E-2</v>
      </c>
    </row>
    <row r="62" spans="1:8" x14ac:dyDescent="0.25">
      <c r="B62" s="41"/>
      <c r="C62" s="270"/>
      <c r="D62" s="46"/>
      <c r="E62" s="36"/>
      <c r="F62" s="42"/>
      <c r="G62" s="4"/>
      <c r="H62" s="4"/>
    </row>
    <row r="63" spans="1:8" x14ac:dyDescent="0.25">
      <c r="B63" s="4"/>
      <c r="C63" s="4"/>
      <c r="D63" s="4"/>
      <c r="E63" s="10"/>
      <c r="F63" s="4"/>
      <c r="G63" s="4"/>
      <c r="H63" s="4"/>
    </row>
    <row r="64" spans="1:8" x14ac:dyDescent="0.25">
      <c r="B64" s="4"/>
      <c r="C64" s="4"/>
      <c r="D64" s="4"/>
      <c r="E64" s="10"/>
      <c r="F64" s="4"/>
      <c r="G64" s="4"/>
      <c r="H64" s="4"/>
    </row>
    <row r="65" spans="2:8" x14ac:dyDescent="0.25">
      <c r="B65" s="4"/>
      <c r="C65" s="4"/>
      <c r="D65" s="4"/>
      <c r="E65" s="10"/>
      <c r="F65" s="4"/>
      <c r="G65" s="4"/>
      <c r="H65" s="4"/>
    </row>
    <row r="66" spans="2:8" x14ac:dyDescent="0.25">
      <c r="B66" s="4"/>
      <c r="C66" s="4"/>
      <c r="D66" s="4"/>
      <c r="E66" s="4"/>
      <c r="F66" s="4"/>
      <c r="G66" s="4"/>
      <c r="H66" s="4"/>
    </row>
    <row r="67" spans="2:8" x14ac:dyDescent="0.25">
      <c r="B67" s="4"/>
      <c r="C67" s="4"/>
      <c r="D67" s="4"/>
      <c r="E67" s="46"/>
      <c r="F67" s="4"/>
      <c r="G67" s="4"/>
      <c r="H67" s="4"/>
    </row>
    <row r="68" spans="2:8" x14ac:dyDescent="0.25">
      <c r="B68" s="4"/>
      <c r="C68" s="4"/>
      <c r="D68" s="4"/>
      <c r="E68" s="4"/>
      <c r="F68" s="4"/>
      <c r="G68" s="4"/>
      <c r="H68" s="4"/>
    </row>
    <row r="69" spans="2:8" x14ac:dyDescent="0.25">
      <c r="B69" s="4"/>
      <c r="C69" s="4"/>
      <c r="D69" s="4"/>
      <c r="E69" s="4"/>
      <c r="F69" s="4"/>
      <c r="G69" s="4"/>
      <c r="H69" s="4"/>
    </row>
    <row r="70" spans="2:8" x14ac:dyDescent="0.25">
      <c r="B70" s="4"/>
      <c r="C70" s="4"/>
      <c r="D70" s="4"/>
      <c r="E70" s="4"/>
      <c r="F70" s="4"/>
      <c r="G70" s="4"/>
      <c r="H70"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8:A20">
      <formula1>Fert_Names</formula1>
    </dataValidation>
  </dataValidations>
  <printOptions horizontalCentered="1"/>
  <pageMargins left="0.25" right="0.25" top="0.75" bottom="0.75" header="0.3" footer="0.3"/>
  <pageSetup scale="82"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R67"/>
  <sheetViews>
    <sheetView showGridLines="0" showRowColHeaders="0" workbookViewId="0">
      <pane ySplit="7" topLeftCell="A8" activePane="bottomLeft" state="frozen"/>
      <selection activeCell="B9" sqref="B9"/>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20" t="str">
        <f>'Universal Input Prices'!A20</f>
        <v>Dryland Other Crop</v>
      </c>
      <c r="B3" s="320"/>
      <c r="C3" s="320"/>
      <c r="D3" s="320"/>
      <c r="E3" s="320"/>
      <c r="F3" s="320"/>
      <c r="G3" s="320"/>
      <c r="H3" s="320"/>
    </row>
    <row r="4" spans="1:18" ht="15" x14ac:dyDescent="0.25">
      <c r="A4" s="319" t="s">
        <v>269</v>
      </c>
      <c r="B4" s="319"/>
      <c r="C4" s="319"/>
      <c r="D4" s="319"/>
      <c r="E4" s="319"/>
      <c r="F4" s="319"/>
      <c r="G4" s="319"/>
      <c r="H4" s="319"/>
    </row>
    <row r="5" spans="1:18" ht="13.8" x14ac:dyDescent="0.25">
      <c r="A5" s="4"/>
      <c r="B5" s="40"/>
      <c r="C5" s="40"/>
      <c r="D5" s="40"/>
      <c r="E5" s="40"/>
      <c r="G5" s="245"/>
      <c r="H5" s="242" t="s">
        <v>102</v>
      </c>
      <c r="I5" s="69" t="s">
        <v>55</v>
      </c>
      <c r="O5" s="1"/>
      <c r="P5" s="1"/>
    </row>
    <row r="6" spans="1:18" ht="13.8" x14ac:dyDescent="0.25">
      <c r="A6" s="4" t="s">
        <v>3</v>
      </c>
      <c r="B6" s="119" t="s">
        <v>4</v>
      </c>
      <c r="C6" s="119" t="s">
        <v>5</v>
      </c>
      <c r="D6" s="119" t="s">
        <v>6</v>
      </c>
      <c r="E6" s="119" t="s">
        <v>53</v>
      </c>
      <c r="F6" s="244" t="s">
        <v>151</v>
      </c>
      <c r="G6" s="244"/>
      <c r="H6" s="112" t="s">
        <v>55</v>
      </c>
      <c r="I6" s="70" t="s">
        <v>103</v>
      </c>
    </row>
    <row r="7" spans="1:18" x14ac:dyDescent="0.25">
      <c r="A7" s="4"/>
      <c r="B7" s="5"/>
      <c r="C7" s="5"/>
      <c r="D7" s="5"/>
      <c r="E7" s="119" t="s">
        <v>55</v>
      </c>
      <c r="F7" s="119" t="s">
        <v>56</v>
      </c>
      <c r="G7" s="119" t="s">
        <v>52</v>
      </c>
      <c r="H7" s="119" t="s">
        <v>53</v>
      </c>
    </row>
    <row r="8" spans="1:18" x14ac:dyDescent="0.25">
      <c r="A8" s="4" t="s">
        <v>7</v>
      </c>
      <c r="B8" s="5"/>
      <c r="C8" s="5"/>
      <c r="D8" s="5"/>
      <c r="E8" s="5"/>
      <c r="F8" s="5"/>
      <c r="G8" s="5"/>
      <c r="H8" s="5"/>
    </row>
    <row r="9" spans="1:18" x14ac:dyDescent="0.25">
      <c r="A9" s="277" t="s">
        <v>172</v>
      </c>
      <c r="B9" s="23">
        <v>0</v>
      </c>
      <c r="C9" s="272" t="str">
        <f>'Universal Input Prices'!C20</f>
        <v>unit</v>
      </c>
      <c r="D9" s="55">
        <f>'Universal Input Prices'!B20</f>
        <v>0</v>
      </c>
      <c r="E9" s="34">
        <v>0.33</v>
      </c>
      <c r="F9" s="39">
        <f>D9*B9</f>
        <v>0</v>
      </c>
      <c r="G9" s="39">
        <f>F9*(1-E9)</f>
        <v>0</v>
      </c>
      <c r="H9" s="39">
        <f>IF(H6="Cash", D55,F9*E9)</f>
        <v>0</v>
      </c>
      <c r="L9" s="52"/>
    </row>
    <row r="10" spans="1:18" x14ac:dyDescent="0.25">
      <c r="A10" s="7" t="s">
        <v>171</v>
      </c>
      <c r="B10" s="33">
        <v>0</v>
      </c>
      <c r="C10" s="265" t="str">
        <f>'Universal Input Prices'!C20</f>
        <v>unit</v>
      </c>
      <c r="D10" s="14">
        <v>0</v>
      </c>
      <c r="E10" s="34">
        <v>0.33</v>
      </c>
      <c r="F10" s="39">
        <f>D10*B10</f>
        <v>0</v>
      </c>
      <c r="G10" s="39">
        <f>F10*(1-E10)</f>
        <v>0</v>
      </c>
      <c r="H10" s="39">
        <f>IF(H6="Cash", 0,F10*E10)</f>
        <v>0</v>
      </c>
      <c r="L10" s="52"/>
    </row>
    <row r="11" spans="1:18" x14ac:dyDescent="0.25">
      <c r="A11" s="9"/>
      <c r="B11" s="21"/>
      <c r="C11" s="264"/>
      <c r="D11" s="8"/>
      <c r="E11" s="36"/>
      <c r="F11" s="39"/>
      <c r="G11" s="39"/>
      <c r="H11" s="39"/>
      <c r="L11" s="52"/>
    </row>
    <row r="12" spans="1:18" x14ac:dyDescent="0.25">
      <c r="A12" s="4" t="s">
        <v>12</v>
      </c>
      <c r="B12" s="5"/>
      <c r="C12" s="119"/>
      <c r="D12" s="8"/>
      <c r="E12" s="36"/>
      <c r="F12" s="39">
        <f>F9+F10</f>
        <v>0</v>
      </c>
      <c r="G12" s="39">
        <f>G9+G10</f>
        <v>0</v>
      </c>
      <c r="H12" s="39">
        <f>H9+H10</f>
        <v>0</v>
      </c>
      <c r="L12" s="52"/>
    </row>
    <row r="13" spans="1:18" x14ac:dyDescent="0.25">
      <c r="A13" s="4"/>
      <c r="B13" s="5"/>
      <c r="C13" s="119"/>
      <c r="D13" s="8"/>
      <c r="E13" s="36"/>
      <c r="F13" s="39"/>
      <c r="G13" s="39"/>
      <c r="H13" s="39"/>
      <c r="L13" s="52"/>
    </row>
    <row r="14" spans="1:18" x14ac:dyDescent="0.25">
      <c r="A14" s="4" t="s">
        <v>207</v>
      </c>
      <c r="B14" s="5"/>
      <c r="C14" s="119"/>
      <c r="D14" s="8"/>
      <c r="E14" s="36"/>
      <c r="F14" s="39"/>
      <c r="G14" s="39"/>
      <c r="H14" s="39"/>
      <c r="L14" s="52"/>
    </row>
    <row r="15" spans="1:18" x14ac:dyDescent="0.25">
      <c r="A15" s="4" t="s">
        <v>1</v>
      </c>
      <c r="B15" s="28">
        <v>0</v>
      </c>
      <c r="C15" s="265" t="s">
        <v>170</v>
      </c>
      <c r="D15" s="13">
        <v>0</v>
      </c>
      <c r="E15" s="34">
        <v>0</v>
      </c>
      <c r="F15" s="39">
        <f>D15*B15</f>
        <v>0</v>
      </c>
      <c r="G15" s="39">
        <f>F15*(1-E15)</f>
        <v>0</v>
      </c>
      <c r="H15" s="39">
        <f>F15*E15</f>
        <v>0</v>
      </c>
    </row>
    <row r="16" spans="1:18" x14ac:dyDescent="0.25">
      <c r="A16" s="4" t="s">
        <v>0</v>
      </c>
      <c r="B16" s="26"/>
      <c r="C16" s="119"/>
      <c r="D16" s="15"/>
      <c r="E16" s="36"/>
      <c r="F16" s="39"/>
      <c r="G16" s="39"/>
      <c r="H16" s="39"/>
    </row>
    <row r="17" spans="1:8" x14ac:dyDescent="0.25">
      <c r="A17" s="302" t="s">
        <v>255</v>
      </c>
      <c r="B17" s="24">
        <v>0</v>
      </c>
      <c r="C17" s="119" t="s">
        <v>79</v>
      </c>
      <c r="D17" s="54">
        <f>IF(A17="",0,VLOOKUP(A17,'Universal Input Prices'!$A$26:$B$30, 2))</f>
        <v>0.25000000000000006</v>
      </c>
      <c r="E17" s="34">
        <v>0.33</v>
      </c>
      <c r="F17" s="39">
        <f t="shared" ref="F17:F18" si="0">D17*B17</f>
        <v>0</v>
      </c>
      <c r="G17" s="39">
        <f t="shared" ref="G17:G18" si="1">F17*(1-E17)</f>
        <v>0</v>
      </c>
      <c r="H17" s="39">
        <f t="shared" ref="H17:H18" si="2">F17*E17</f>
        <v>0</v>
      </c>
    </row>
    <row r="18" spans="1:8" x14ac:dyDescent="0.25">
      <c r="A18" s="302" t="s">
        <v>134</v>
      </c>
      <c r="B18" s="24">
        <v>0</v>
      </c>
      <c r="C18" s="119" t="s">
        <v>79</v>
      </c>
      <c r="D18" s="54">
        <f>IF(A18="",0,VLOOKUP(A18,'Universal Input Prices'!$A$26:$B$30, 2))</f>
        <v>0.33043478260869563</v>
      </c>
      <c r="E18" s="34">
        <v>0.33</v>
      </c>
      <c r="F18" s="39">
        <f t="shared" si="0"/>
        <v>0</v>
      </c>
      <c r="G18" s="39">
        <f t="shared" si="1"/>
        <v>0</v>
      </c>
      <c r="H18" s="39">
        <f t="shared" si="2"/>
        <v>0</v>
      </c>
    </row>
    <row r="19" spans="1:8" x14ac:dyDescent="0.25">
      <c r="A19" s="302" t="s">
        <v>135</v>
      </c>
      <c r="B19" s="24">
        <v>0</v>
      </c>
      <c r="C19" s="119" t="s">
        <v>79</v>
      </c>
      <c r="D19" s="54">
        <f>IF(A19="",0,VLOOKUP(A19,'Universal Input Prices'!$A$26:$B$30, 2))</f>
        <v>0.41015625</v>
      </c>
      <c r="E19" s="34">
        <v>0.33</v>
      </c>
      <c r="F19" s="39">
        <f>D19*B19</f>
        <v>0</v>
      </c>
      <c r="G19" s="39">
        <f>F19*(1-E19)</f>
        <v>0</v>
      </c>
      <c r="H19" s="39">
        <f>F19*E19</f>
        <v>0</v>
      </c>
    </row>
    <row r="20" spans="1:8" x14ac:dyDescent="0.25">
      <c r="A20" s="302" t="s">
        <v>133</v>
      </c>
      <c r="B20" s="24">
        <v>0</v>
      </c>
      <c r="C20" s="119" t="s">
        <v>79</v>
      </c>
      <c r="D20" s="54">
        <f>IF(A20="",0,VLOOKUP(A20,'Universal Input Prices'!$A$26:$B$30, 2))</f>
        <v>0.42980769230769234</v>
      </c>
      <c r="E20" s="34">
        <v>0.33</v>
      </c>
      <c r="F20" s="39">
        <f>D20*B20</f>
        <v>0</v>
      </c>
      <c r="G20" s="39">
        <f>F20*(1-E20)</f>
        <v>0</v>
      </c>
      <c r="H20" s="39">
        <f>F20*E20</f>
        <v>0</v>
      </c>
    </row>
    <row r="21" spans="1:8" x14ac:dyDescent="0.25">
      <c r="A21" s="302" t="s">
        <v>136</v>
      </c>
      <c r="B21" s="24">
        <v>0</v>
      </c>
      <c r="C21" s="119" t="s">
        <v>79</v>
      </c>
      <c r="D21" s="54">
        <f>IF(A21="",0,VLOOKUP(A21,'Universal Input Prices'!$A$26:$B$30, 2))</f>
        <v>0.47</v>
      </c>
      <c r="E21" s="34">
        <v>0.33</v>
      </c>
      <c r="F21" s="39">
        <f>D21*B21</f>
        <v>0</v>
      </c>
      <c r="G21" s="39">
        <f>F21*(1-E21)</f>
        <v>0</v>
      </c>
      <c r="H21" s="39">
        <f>F21*E21</f>
        <v>0</v>
      </c>
    </row>
    <row r="22" spans="1:8" x14ac:dyDescent="0.25">
      <c r="A22" s="4" t="s">
        <v>15</v>
      </c>
      <c r="B22" s="27"/>
      <c r="C22" s="119"/>
      <c r="D22" s="8"/>
      <c r="E22" s="36"/>
      <c r="F22" s="39"/>
      <c r="G22" s="39"/>
      <c r="H22" s="39"/>
    </row>
    <row r="23" spans="1:8" x14ac:dyDescent="0.25">
      <c r="A23" s="2" t="s">
        <v>236</v>
      </c>
      <c r="B23" s="24">
        <v>1</v>
      </c>
      <c r="C23" s="119" t="s">
        <v>14</v>
      </c>
      <c r="D23" s="14">
        <v>0</v>
      </c>
      <c r="E23" s="34">
        <v>0.33</v>
      </c>
      <c r="F23" s="39">
        <f t="shared" ref="F23:F35" si="3">D23*B23</f>
        <v>0</v>
      </c>
      <c r="G23" s="39">
        <f t="shared" ref="G23:G41" si="4">F23*(1-E23)</f>
        <v>0</v>
      </c>
      <c r="H23" s="39">
        <f t="shared" ref="H23:H41" si="5">F23*E23</f>
        <v>0</v>
      </c>
    </row>
    <row r="24" spans="1:8" x14ac:dyDescent="0.25">
      <c r="A24" s="2" t="s">
        <v>43</v>
      </c>
      <c r="B24" s="24">
        <v>0</v>
      </c>
      <c r="C24" s="119" t="s">
        <v>14</v>
      </c>
      <c r="D24" s="14">
        <v>11.75</v>
      </c>
      <c r="E24" s="34">
        <v>0.33</v>
      </c>
      <c r="F24" s="39">
        <f t="shared" si="3"/>
        <v>0</v>
      </c>
      <c r="G24" s="39">
        <f t="shared" si="4"/>
        <v>0</v>
      </c>
      <c r="H24" s="39">
        <f t="shared" si="5"/>
        <v>0</v>
      </c>
    </row>
    <row r="25" spans="1:8" x14ac:dyDescent="0.25">
      <c r="A25" s="2" t="s">
        <v>237</v>
      </c>
      <c r="B25" s="24">
        <v>0</v>
      </c>
      <c r="C25" s="119" t="s">
        <v>14</v>
      </c>
      <c r="D25" s="14">
        <v>0</v>
      </c>
      <c r="E25" s="34">
        <v>0.33</v>
      </c>
      <c r="F25" s="39">
        <f t="shared" si="3"/>
        <v>0</v>
      </c>
      <c r="G25" s="39">
        <f t="shared" si="4"/>
        <v>0</v>
      </c>
      <c r="H25" s="39">
        <f t="shared" si="5"/>
        <v>0</v>
      </c>
    </row>
    <row r="26" spans="1:8" x14ac:dyDescent="0.25">
      <c r="A26" s="2" t="s">
        <v>47</v>
      </c>
      <c r="B26" s="29">
        <f>B9</f>
        <v>0</v>
      </c>
      <c r="C26" s="128" t="str">
        <f>C9</f>
        <v>unit</v>
      </c>
      <c r="D26" s="14">
        <v>0</v>
      </c>
      <c r="E26" s="34">
        <v>0</v>
      </c>
      <c r="F26" s="39">
        <f t="shared" si="3"/>
        <v>0</v>
      </c>
      <c r="G26" s="39">
        <f t="shared" si="4"/>
        <v>0</v>
      </c>
      <c r="H26" s="39">
        <f t="shared" si="5"/>
        <v>0</v>
      </c>
    </row>
    <row r="27" spans="1:8" x14ac:dyDescent="0.25">
      <c r="A27" s="7" t="s">
        <v>173</v>
      </c>
      <c r="B27" s="24">
        <v>1</v>
      </c>
      <c r="C27" s="119" t="s">
        <v>14</v>
      </c>
      <c r="D27" s="14">
        <v>0</v>
      </c>
      <c r="E27" s="34">
        <v>0</v>
      </c>
      <c r="F27" s="39">
        <f t="shared" si="3"/>
        <v>0</v>
      </c>
      <c r="G27" s="39">
        <f t="shared" si="4"/>
        <v>0</v>
      </c>
      <c r="H27" s="39">
        <f t="shared" si="5"/>
        <v>0</v>
      </c>
    </row>
    <row r="28" spans="1:8" x14ac:dyDescent="0.25">
      <c r="A28" s="2" t="s">
        <v>21</v>
      </c>
      <c r="B28" s="24">
        <v>1</v>
      </c>
      <c r="C28" s="119" t="s">
        <v>14</v>
      </c>
      <c r="D28" s="14">
        <v>0</v>
      </c>
      <c r="E28" s="34">
        <v>0</v>
      </c>
      <c r="F28" s="39">
        <f>D28*B28</f>
        <v>0</v>
      </c>
      <c r="G28" s="39">
        <f>F28*(1-E28)</f>
        <v>0</v>
      </c>
      <c r="H28" s="39">
        <f>F28*E28</f>
        <v>0</v>
      </c>
    </row>
    <row r="29" spans="1:8" x14ac:dyDescent="0.25">
      <c r="A29" s="16" t="s">
        <v>40</v>
      </c>
      <c r="B29" s="24">
        <v>1</v>
      </c>
      <c r="C29" s="265" t="s">
        <v>14</v>
      </c>
      <c r="D29" s="14">
        <v>0</v>
      </c>
      <c r="E29" s="34">
        <v>0</v>
      </c>
      <c r="F29" s="39">
        <f t="shared" si="3"/>
        <v>0</v>
      </c>
      <c r="G29" s="39">
        <f t="shared" si="4"/>
        <v>0</v>
      </c>
      <c r="H29" s="39">
        <f t="shared" si="5"/>
        <v>0</v>
      </c>
    </row>
    <row r="30" spans="1:8" x14ac:dyDescent="0.25">
      <c r="A30" s="16" t="s">
        <v>40</v>
      </c>
      <c r="B30" s="24">
        <v>1</v>
      </c>
      <c r="C30" s="265" t="s">
        <v>14</v>
      </c>
      <c r="D30" s="14">
        <v>0</v>
      </c>
      <c r="E30" s="34">
        <v>0</v>
      </c>
      <c r="F30" s="39">
        <f t="shared" si="3"/>
        <v>0</v>
      </c>
      <c r="G30" s="39">
        <f t="shared" si="4"/>
        <v>0</v>
      </c>
      <c r="H30" s="39">
        <f t="shared" si="5"/>
        <v>0</v>
      </c>
    </row>
    <row r="31" spans="1:8" x14ac:dyDescent="0.25">
      <c r="A31" s="16" t="s">
        <v>40</v>
      </c>
      <c r="B31" s="24">
        <v>1</v>
      </c>
      <c r="C31" s="265" t="s">
        <v>14</v>
      </c>
      <c r="D31" s="14">
        <v>0</v>
      </c>
      <c r="E31" s="34">
        <v>0</v>
      </c>
      <c r="F31" s="39">
        <f t="shared" si="3"/>
        <v>0</v>
      </c>
      <c r="G31" s="39">
        <f t="shared" si="4"/>
        <v>0</v>
      </c>
      <c r="H31" s="39">
        <f t="shared" si="5"/>
        <v>0</v>
      </c>
    </row>
    <row r="32" spans="1:8" x14ac:dyDescent="0.25">
      <c r="A32" s="4" t="s">
        <v>22</v>
      </c>
      <c r="B32" s="24">
        <v>1</v>
      </c>
      <c r="C32" s="119" t="s">
        <v>14</v>
      </c>
      <c r="D32" s="14">
        <v>0</v>
      </c>
      <c r="E32" s="34">
        <v>0.33</v>
      </c>
      <c r="F32" s="39">
        <f t="shared" si="3"/>
        <v>0</v>
      </c>
      <c r="G32" s="39">
        <f t="shared" si="4"/>
        <v>0</v>
      </c>
      <c r="H32" s="39">
        <f t="shared" si="5"/>
        <v>0</v>
      </c>
    </row>
    <row r="33" spans="1:8" x14ac:dyDescent="0.25">
      <c r="A33" s="4" t="s">
        <v>140</v>
      </c>
      <c r="B33" s="28">
        <v>0</v>
      </c>
      <c r="C33" s="119" t="s">
        <v>23</v>
      </c>
      <c r="D33" s="55">
        <f>'Universal Input Prices'!$B$31</f>
        <v>12.45</v>
      </c>
      <c r="E33" s="34">
        <v>0</v>
      </c>
      <c r="F33" s="39">
        <f t="shared" si="3"/>
        <v>0</v>
      </c>
      <c r="G33" s="39">
        <f t="shared" si="4"/>
        <v>0</v>
      </c>
      <c r="H33" s="39">
        <f t="shared" si="5"/>
        <v>0</v>
      </c>
    </row>
    <row r="34" spans="1:8" x14ac:dyDescent="0.25">
      <c r="A34" s="4" t="s">
        <v>25</v>
      </c>
      <c r="B34" s="28">
        <v>0</v>
      </c>
      <c r="C34" s="119" t="s">
        <v>26</v>
      </c>
      <c r="D34" s="55">
        <f>'Universal Input Prices'!$B$32</f>
        <v>1.81</v>
      </c>
      <c r="E34" s="34">
        <v>0</v>
      </c>
      <c r="F34" s="39">
        <f t="shared" si="3"/>
        <v>0</v>
      </c>
      <c r="G34" s="39">
        <f t="shared" si="4"/>
        <v>0</v>
      </c>
      <c r="H34" s="39">
        <f t="shared" si="5"/>
        <v>0</v>
      </c>
    </row>
    <row r="35" spans="1:8" x14ac:dyDescent="0.25">
      <c r="A35" s="4" t="s">
        <v>27</v>
      </c>
      <c r="B35" s="28">
        <v>0</v>
      </c>
      <c r="C35" s="119" t="s">
        <v>26</v>
      </c>
      <c r="D35" s="55">
        <f>'Universal Input Prices'!$B$33</f>
        <v>1.9259999999999999</v>
      </c>
      <c r="E35" s="34">
        <v>0</v>
      </c>
      <c r="F35" s="39">
        <f t="shared" si="3"/>
        <v>0</v>
      </c>
      <c r="G35" s="39">
        <f t="shared" si="4"/>
        <v>0</v>
      </c>
      <c r="H35" s="39">
        <f t="shared" si="5"/>
        <v>0</v>
      </c>
    </row>
    <row r="36" spans="1:8" x14ac:dyDescent="0.25">
      <c r="A36" s="4" t="s">
        <v>30</v>
      </c>
      <c r="B36" s="5"/>
      <c r="C36" s="119"/>
      <c r="D36" s="15"/>
      <c r="E36" s="36"/>
      <c r="F36" s="39"/>
      <c r="G36" s="39"/>
      <c r="H36" s="39"/>
    </row>
    <row r="37" spans="1:8" x14ac:dyDescent="0.25">
      <c r="A37" s="7" t="s">
        <v>31</v>
      </c>
      <c r="B37" s="28">
        <v>0</v>
      </c>
      <c r="C37" s="119" t="s">
        <v>14</v>
      </c>
      <c r="D37" s="14">
        <v>4.47</v>
      </c>
      <c r="E37" s="34">
        <v>0</v>
      </c>
      <c r="F37" s="39">
        <f>D37*B37</f>
        <v>0</v>
      </c>
      <c r="G37" s="39">
        <f t="shared" si="4"/>
        <v>0</v>
      </c>
      <c r="H37" s="39">
        <f t="shared" si="5"/>
        <v>0</v>
      </c>
    </row>
    <row r="38" spans="1:8" x14ac:dyDescent="0.25">
      <c r="A38" s="7" t="s">
        <v>2</v>
      </c>
      <c r="B38" s="28">
        <v>0</v>
      </c>
      <c r="C38" s="119" t="s">
        <v>14</v>
      </c>
      <c r="D38" s="14">
        <v>5.55</v>
      </c>
      <c r="E38" s="34">
        <v>0</v>
      </c>
      <c r="F38" s="39">
        <f>D38*B38</f>
        <v>0</v>
      </c>
      <c r="G38" s="39">
        <f t="shared" si="4"/>
        <v>0</v>
      </c>
      <c r="H38" s="39">
        <f t="shared" si="5"/>
        <v>0</v>
      </c>
    </row>
    <row r="39" spans="1:8" x14ac:dyDescent="0.25">
      <c r="A39" s="7" t="s">
        <v>203</v>
      </c>
      <c r="B39" s="28">
        <f>0</f>
        <v>0</v>
      </c>
      <c r="C39" s="119" t="s">
        <v>14</v>
      </c>
      <c r="D39" s="14">
        <v>4.04</v>
      </c>
      <c r="E39" s="34">
        <v>0</v>
      </c>
      <c r="F39" s="39">
        <f>D39*B39</f>
        <v>0</v>
      </c>
      <c r="G39" s="39">
        <f t="shared" si="4"/>
        <v>0</v>
      </c>
      <c r="H39" s="39">
        <f t="shared" si="5"/>
        <v>0</v>
      </c>
    </row>
    <row r="40" spans="1:8" x14ac:dyDescent="0.25">
      <c r="A40" s="7" t="s">
        <v>204</v>
      </c>
      <c r="B40" s="28">
        <v>0</v>
      </c>
      <c r="C40" s="119" t="s">
        <v>14</v>
      </c>
      <c r="D40" s="14">
        <v>0.16</v>
      </c>
      <c r="E40" s="34">
        <v>1</v>
      </c>
      <c r="F40" s="39">
        <f>D40*B40</f>
        <v>0</v>
      </c>
      <c r="G40" s="39">
        <f t="shared" si="4"/>
        <v>0</v>
      </c>
      <c r="H40" s="39">
        <f t="shared" si="5"/>
        <v>0</v>
      </c>
    </row>
    <row r="41" spans="1:8" x14ac:dyDescent="0.25">
      <c r="A41" s="7" t="s">
        <v>33</v>
      </c>
      <c r="B41" s="28">
        <v>1</v>
      </c>
      <c r="C41" s="119" t="s">
        <v>14</v>
      </c>
      <c r="D41" s="14">
        <v>0</v>
      </c>
      <c r="E41" s="34">
        <v>0</v>
      </c>
      <c r="F41" s="39">
        <f>D41*B41</f>
        <v>0</v>
      </c>
      <c r="G41" s="39">
        <f t="shared" si="4"/>
        <v>0</v>
      </c>
      <c r="H41" s="39">
        <f t="shared" si="5"/>
        <v>0</v>
      </c>
    </row>
    <row r="42" spans="1:8" x14ac:dyDescent="0.25">
      <c r="A42" s="4" t="s">
        <v>34</v>
      </c>
      <c r="B42" s="89">
        <f>'Universal Input Prices'!$B$35</f>
        <v>5.3999999999999999E-2</v>
      </c>
      <c r="C42" s="119"/>
      <c r="D42" s="22"/>
      <c r="E42" s="36"/>
      <c r="F42" s="158">
        <f>(SUM(F15:F25,F27:F41))*$B42/2</f>
        <v>0</v>
      </c>
      <c r="G42" s="158">
        <f>(SUM(G15:G25,G27:G41))*$B42/2</f>
        <v>0</v>
      </c>
      <c r="H42" s="158">
        <f>(SUM(H15:H25,H27:H41))*$B42/2</f>
        <v>0</v>
      </c>
    </row>
    <row r="43" spans="1:8" x14ac:dyDescent="0.25">
      <c r="A43" s="4"/>
      <c r="B43" s="10"/>
      <c r="C43" s="119"/>
      <c r="D43" s="8"/>
      <c r="E43" s="36"/>
      <c r="F43" s="39"/>
      <c r="G43" s="39"/>
      <c r="H43" s="39"/>
    </row>
    <row r="44" spans="1:8" x14ac:dyDescent="0.25">
      <c r="A44" s="4" t="s">
        <v>205</v>
      </c>
      <c r="B44" s="10"/>
      <c r="C44" s="119"/>
      <c r="D44" s="8"/>
      <c r="E44" s="36"/>
      <c r="F44" s="39">
        <f>SUM(F15:F42)</f>
        <v>0</v>
      </c>
      <c r="G44" s="39">
        <f>SUM(G15:G42)</f>
        <v>0</v>
      </c>
      <c r="H44" s="39">
        <f>SUM(H15:H42)</f>
        <v>0</v>
      </c>
    </row>
    <row r="45" spans="1:8" ht="13.8" x14ac:dyDescent="0.25">
      <c r="A45" s="12" t="s">
        <v>206</v>
      </c>
      <c r="B45" s="10"/>
      <c r="C45" s="119"/>
      <c r="D45" s="8"/>
      <c r="E45" s="36"/>
      <c r="F45" s="72">
        <f>F12-F44</f>
        <v>0</v>
      </c>
      <c r="G45" s="72">
        <f>G12-G44</f>
        <v>0</v>
      </c>
      <c r="H45" s="72">
        <f>H12-H44</f>
        <v>0</v>
      </c>
    </row>
    <row r="46" spans="1:8" x14ac:dyDescent="0.25">
      <c r="A46" s="4"/>
      <c r="B46" s="10"/>
      <c r="C46" s="119"/>
      <c r="D46" s="8"/>
      <c r="E46" s="36"/>
      <c r="F46" s="39"/>
      <c r="G46" s="39"/>
      <c r="H46" s="39"/>
    </row>
    <row r="47" spans="1:8" x14ac:dyDescent="0.25">
      <c r="A47" s="4" t="s">
        <v>208</v>
      </c>
      <c r="B47" s="10"/>
      <c r="C47" s="119"/>
      <c r="D47" s="8"/>
      <c r="E47" s="36"/>
      <c r="F47" s="39"/>
      <c r="G47" s="39"/>
      <c r="H47" s="39"/>
    </row>
    <row r="48" spans="1:8" x14ac:dyDescent="0.25">
      <c r="A48" s="7" t="s">
        <v>31</v>
      </c>
      <c r="B48" s="28">
        <v>0</v>
      </c>
      <c r="C48" s="119" t="s">
        <v>14</v>
      </c>
      <c r="D48" s="14">
        <v>7.04</v>
      </c>
      <c r="E48" s="34">
        <v>0</v>
      </c>
      <c r="F48" s="39">
        <f t="shared" ref="F48:F53" si="6">D48*B48</f>
        <v>0</v>
      </c>
      <c r="G48" s="39">
        <f t="shared" ref="G48:G56" si="7">F48*(1-E48)</f>
        <v>0</v>
      </c>
      <c r="H48" s="39">
        <f t="shared" ref="H48:H56" si="8">F48*E48</f>
        <v>0</v>
      </c>
    </row>
    <row r="49" spans="1:9" x14ac:dyDescent="0.25">
      <c r="A49" s="7" t="s">
        <v>2</v>
      </c>
      <c r="B49" s="28">
        <v>0</v>
      </c>
      <c r="C49" s="119" t="s">
        <v>14</v>
      </c>
      <c r="D49" s="14">
        <v>7.89</v>
      </c>
      <c r="E49" s="34">
        <v>0</v>
      </c>
      <c r="F49" s="39">
        <f t="shared" si="6"/>
        <v>0</v>
      </c>
      <c r="G49" s="39">
        <f t="shared" si="7"/>
        <v>0</v>
      </c>
      <c r="H49" s="39">
        <f t="shared" si="8"/>
        <v>0</v>
      </c>
    </row>
    <row r="50" spans="1:9" x14ac:dyDescent="0.25">
      <c r="A50" s="7" t="s">
        <v>203</v>
      </c>
      <c r="B50" s="28">
        <v>1</v>
      </c>
      <c r="C50" s="119" t="s">
        <v>14</v>
      </c>
      <c r="D50" s="14">
        <v>0</v>
      </c>
      <c r="E50" s="34">
        <v>0</v>
      </c>
      <c r="F50" s="39">
        <f t="shared" si="6"/>
        <v>0</v>
      </c>
      <c r="G50" s="39">
        <f t="shared" si="7"/>
        <v>0</v>
      </c>
      <c r="H50" s="39">
        <f t="shared" si="8"/>
        <v>0</v>
      </c>
    </row>
    <row r="51" spans="1:9" x14ac:dyDescent="0.25">
      <c r="A51" s="7" t="s">
        <v>204</v>
      </c>
      <c r="B51" s="28">
        <v>1</v>
      </c>
      <c r="C51" s="119" t="s">
        <v>14</v>
      </c>
      <c r="D51" s="14">
        <v>0</v>
      </c>
      <c r="E51" s="34">
        <v>1</v>
      </c>
      <c r="F51" s="39">
        <f t="shared" si="6"/>
        <v>0</v>
      </c>
      <c r="G51" s="39">
        <f t="shared" si="7"/>
        <v>0</v>
      </c>
      <c r="H51" s="39">
        <f t="shared" si="8"/>
        <v>0</v>
      </c>
    </row>
    <row r="52" spans="1:9" x14ac:dyDescent="0.25">
      <c r="A52" s="7" t="s">
        <v>33</v>
      </c>
      <c r="B52" s="28">
        <v>1</v>
      </c>
      <c r="C52" s="119" t="s">
        <v>14</v>
      </c>
      <c r="D52" s="14">
        <v>0</v>
      </c>
      <c r="E52" s="34">
        <v>0</v>
      </c>
      <c r="F52" s="39">
        <f t="shared" si="6"/>
        <v>0</v>
      </c>
      <c r="G52" s="39">
        <f t="shared" si="7"/>
        <v>0</v>
      </c>
      <c r="H52" s="39">
        <f t="shared" si="8"/>
        <v>0</v>
      </c>
    </row>
    <row r="53" spans="1:9" x14ac:dyDescent="0.25">
      <c r="A53" s="7" t="s">
        <v>35</v>
      </c>
      <c r="B53" s="28">
        <v>1</v>
      </c>
      <c r="C53" s="119" t="s">
        <v>14</v>
      </c>
      <c r="D53" s="14">
        <v>0</v>
      </c>
      <c r="E53" s="34">
        <v>0</v>
      </c>
      <c r="F53" s="39">
        <f t="shared" si="6"/>
        <v>0</v>
      </c>
      <c r="G53" s="39">
        <f t="shared" si="7"/>
        <v>0</v>
      </c>
      <c r="H53" s="39">
        <f t="shared" si="8"/>
        <v>0</v>
      </c>
    </row>
    <row r="54" spans="1:9" x14ac:dyDescent="0.25">
      <c r="A54" s="7" t="s">
        <v>41</v>
      </c>
      <c r="B54" s="28">
        <v>1</v>
      </c>
      <c r="C54" s="119" t="s">
        <v>14</v>
      </c>
      <c r="D54" s="14">
        <v>0</v>
      </c>
      <c r="E54" s="34">
        <v>0</v>
      </c>
      <c r="F54" s="39">
        <f>B54*D54</f>
        <v>0</v>
      </c>
      <c r="G54" s="39">
        <f t="shared" si="7"/>
        <v>0</v>
      </c>
      <c r="H54" s="39">
        <f t="shared" si="8"/>
        <v>0</v>
      </c>
    </row>
    <row r="55" spans="1:9" x14ac:dyDescent="0.25">
      <c r="A55" s="7" t="s">
        <v>36</v>
      </c>
      <c r="B55" s="28">
        <v>0</v>
      </c>
      <c r="C55" s="119" t="s">
        <v>14</v>
      </c>
      <c r="D55" s="14">
        <v>30</v>
      </c>
      <c r="E55" s="34">
        <v>1</v>
      </c>
      <c r="F55" s="39">
        <f>D55*B55</f>
        <v>0</v>
      </c>
      <c r="G55" s="39">
        <f>IF($H$6="Cash",D55,F55*(1-E55))</f>
        <v>0</v>
      </c>
      <c r="H55" s="39">
        <f>IF($H$6="Cash",0,F55*E55)</f>
        <v>0</v>
      </c>
    </row>
    <row r="56" spans="1:9" x14ac:dyDescent="0.25">
      <c r="A56" s="7" t="s">
        <v>42</v>
      </c>
      <c r="B56" s="28">
        <v>1</v>
      </c>
      <c r="C56" s="119" t="s">
        <v>14</v>
      </c>
      <c r="D56" s="14">
        <v>0</v>
      </c>
      <c r="E56" s="34">
        <v>1</v>
      </c>
      <c r="F56" s="39">
        <f>B56*D56</f>
        <v>0</v>
      </c>
      <c r="G56" s="39">
        <f t="shared" si="7"/>
        <v>0</v>
      </c>
      <c r="H56" s="39">
        <f t="shared" si="8"/>
        <v>0</v>
      </c>
    </row>
    <row r="57" spans="1:9" ht="12" customHeight="1" x14ac:dyDescent="0.25">
      <c r="A57" s="4" t="s">
        <v>37</v>
      </c>
      <c r="B57" s="5"/>
      <c r="C57" s="119"/>
      <c r="D57" s="10"/>
      <c r="E57" s="36"/>
      <c r="F57" s="39">
        <f>SUM(F48:F56)</f>
        <v>0</v>
      </c>
      <c r="G57" s="39">
        <f>SUM(G48:G56)</f>
        <v>0</v>
      </c>
      <c r="H57" s="39">
        <f>SUM(H48:H56)</f>
        <v>0</v>
      </c>
    </row>
    <row r="58" spans="1:9" x14ac:dyDescent="0.25">
      <c r="A58" s="4" t="s">
        <v>38</v>
      </c>
      <c r="B58" s="5"/>
      <c r="C58" s="119"/>
      <c r="D58" s="10"/>
      <c r="E58" s="36"/>
      <c r="F58" s="39">
        <f>F44+F57</f>
        <v>0</v>
      </c>
      <c r="G58" s="39">
        <f>G44+G57</f>
        <v>0</v>
      </c>
      <c r="H58" s="39">
        <f>H44+H57</f>
        <v>0</v>
      </c>
    </row>
    <row r="59" spans="1:9" ht="13.8" x14ac:dyDescent="0.25">
      <c r="A59" s="12" t="s">
        <v>39</v>
      </c>
      <c r="B59" s="31"/>
      <c r="C59" s="141"/>
      <c r="D59" s="30"/>
      <c r="E59" s="73"/>
      <c r="F59" s="72">
        <f>F12-F58</f>
        <v>0</v>
      </c>
      <c r="G59" s="72">
        <f>G12-G58</f>
        <v>0</v>
      </c>
      <c r="H59" s="72">
        <f>H12-H58</f>
        <v>0</v>
      </c>
      <c r="I59" s="4"/>
    </row>
    <row r="60" spans="1:9" x14ac:dyDescent="0.25">
      <c r="A60" s="4"/>
      <c r="B60" s="5"/>
      <c r="C60" s="119"/>
      <c r="D60" s="10"/>
      <c r="E60" s="36"/>
      <c r="F60" s="8"/>
      <c r="G60" s="8"/>
      <c r="H60" s="8"/>
      <c r="I60" s="4"/>
    </row>
    <row r="61" spans="1:9" ht="13.8" x14ac:dyDescent="0.25">
      <c r="A61" s="113" t="s">
        <v>161</v>
      </c>
      <c r="B61" s="113"/>
      <c r="C61" s="266"/>
      <c r="D61" s="113"/>
      <c r="E61" s="114"/>
      <c r="F61" s="235" t="str">
        <f>IF(F58=0,"-",(F59/F58))</f>
        <v>-</v>
      </c>
      <c r="G61" s="235" t="str">
        <f t="shared" ref="G61:H61" si="9">IF(G58=0,"-",(G59/G58))</f>
        <v>-</v>
      </c>
      <c r="H61" s="235" t="str">
        <f t="shared" si="9"/>
        <v>-</v>
      </c>
      <c r="I61" s="4"/>
    </row>
    <row r="62" spans="1:9" x14ac:dyDescent="0.25">
      <c r="B62" s="1"/>
      <c r="C62" s="270"/>
      <c r="D62" s="46"/>
      <c r="E62" s="36"/>
      <c r="F62" s="42"/>
      <c r="G62" s="4"/>
      <c r="H62" s="4"/>
      <c r="I62" s="4"/>
    </row>
    <row r="63" spans="1:9" x14ac:dyDescent="0.25">
      <c r="C63" s="4"/>
      <c r="D63" s="4"/>
      <c r="E63" s="10"/>
      <c r="F63" s="4"/>
      <c r="G63" s="4"/>
      <c r="H63" s="4"/>
      <c r="I63" s="4"/>
    </row>
    <row r="64" spans="1:9" x14ac:dyDescent="0.25">
      <c r="C64" s="4"/>
      <c r="D64" s="4"/>
      <c r="E64" s="10"/>
      <c r="F64" s="4"/>
      <c r="G64" s="4"/>
      <c r="H64" s="4"/>
      <c r="I64" s="4"/>
    </row>
    <row r="65" spans="3:8" x14ac:dyDescent="0.25">
      <c r="C65" s="4"/>
      <c r="D65" s="4"/>
      <c r="E65" s="10"/>
      <c r="F65" s="4"/>
      <c r="G65" s="4"/>
      <c r="H65" s="4"/>
    </row>
    <row r="66" spans="3:8" x14ac:dyDescent="0.25">
      <c r="C66" s="4"/>
      <c r="D66" s="4"/>
      <c r="E66" s="4"/>
      <c r="F66" s="4"/>
      <c r="G66" s="4"/>
      <c r="H66" s="4"/>
    </row>
    <row r="67" spans="3:8" x14ac:dyDescent="0.25">
      <c r="C67" s="4"/>
      <c r="D67" s="4"/>
      <c r="E67" s="46"/>
      <c r="F67" s="4"/>
      <c r="G67" s="4"/>
      <c r="H67" s="4"/>
    </row>
  </sheetData>
  <sheetProtection sheet="1" objects="1" scenarios="1" formatColumns="0" formatRows="0" selectLockedCells="1"/>
  <mergeCells count="3">
    <mergeCell ref="A2:H2"/>
    <mergeCell ref="A3:H3"/>
    <mergeCell ref="A4:H4"/>
  </mergeCells>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7:A21">
      <formula1>Fert_Names</formula1>
    </dataValidation>
  </dataValidations>
  <printOptions horizontalCentered="1"/>
  <pageMargins left="0.25" right="0.25" top="0.75" bottom="0.75" header="0.3" footer="0.3"/>
  <pageSetup scale="82"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R302"/>
  <sheetViews>
    <sheetView showGridLines="0" showRowColHeaders="0" zoomScaleNormal="100" zoomScaleSheetLayoutView="100" workbookViewId="0">
      <pane ySplit="4" topLeftCell="A185" activePane="bottomLeft" state="frozen"/>
      <selection activeCell="B9" sqref="B9"/>
      <selection pane="bottomLeft" activeCell="B9" sqref="B9"/>
    </sheetView>
  </sheetViews>
  <sheetFormatPr defaultRowHeight="13.2" x14ac:dyDescent="0.25"/>
  <cols>
    <col min="1" max="1" width="6.88671875" customWidth="1"/>
    <col min="2" max="2" width="7.5546875" bestFit="1" customWidth="1"/>
    <col min="3" max="4" width="15.5546875" style="77" hidden="1" customWidth="1"/>
    <col min="5" max="5" width="15.5546875" style="130" customWidth="1"/>
    <col min="6" max="9" width="15.5546875" style="17" customWidth="1"/>
  </cols>
  <sheetData>
    <row r="1" spans="1:18" ht="39" customHeight="1" x14ac:dyDescent="0.25">
      <c r="A1" s="77"/>
      <c r="B1" s="77"/>
      <c r="E1" s="77"/>
      <c r="F1" s="77"/>
      <c r="G1" s="77"/>
      <c r="H1"/>
      <c r="I1"/>
      <c r="K1" s="77"/>
      <c r="L1" s="77"/>
      <c r="M1" s="77"/>
      <c r="N1" s="77"/>
      <c r="O1" s="77"/>
      <c r="P1" s="77"/>
      <c r="Q1" s="77"/>
      <c r="R1" s="77"/>
    </row>
    <row r="2" spans="1:18" ht="30" customHeight="1" x14ac:dyDescent="0.25">
      <c r="A2" s="322" t="s">
        <v>270</v>
      </c>
      <c r="B2" s="322"/>
      <c r="C2" s="322"/>
      <c r="D2" s="322"/>
      <c r="E2" s="322"/>
      <c r="F2" s="322"/>
      <c r="G2" s="322"/>
      <c r="H2" s="322"/>
      <c r="I2" s="322"/>
    </row>
    <row r="3" spans="1:18" ht="74.25" customHeight="1" x14ac:dyDescent="0.25">
      <c r="A3" s="323"/>
      <c r="B3" s="324"/>
      <c r="C3" s="324"/>
      <c r="D3" s="324"/>
      <c r="E3" s="324"/>
      <c r="F3" s="324"/>
      <c r="G3" s="324"/>
      <c r="H3" s="324"/>
      <c r="I3" s="324"/>
    </row>
    <row r="4" spans="1:18" ht="12" customHeight="1" x14ac:dyDescent="0.25">
      <c r="A4" s="4"/>
      <c r="B4" s="4"/>
      <c r="C4" s="126"/>
      <c r="D4" s="126"/>
      <c r="E4" s="131"/>
      <c r="F4" s="42"/>
      <c r="G4" s="42"/>
      <c r="H4" s="42"/>
      <c r="I4" s="42"/>
    </row>
    <row r="5" spans="1:18" x14ac:dyDescent="0.25">
      <c r="A5" s="325" t="str">
        <f>'Irr Alfalfa'!A3:H3</f>
        <v xml:space="preserve">Irrigated Alfalfa </v>
      </c>
      <c r="B5" s="325"/>
      <c r="C5" s="325"/>
      <c r="D5" s="325"/>
      <c r="E5" s="325"/>
      <c r="F5" s="325"/>
      <c r="G5" s="325"/>
      <c r="H5" s="325"/>
      <c r="I5" s="325"/>
    </row>
    <row r="6" spans="1:18" ht="28.5" customHeight="1" x14ac:dyDescent="0.25">
      <c r="A6" s="278"/>
      <c r="B6" s="278"/>
      <c r="C6" s="279"/>
      <c r="D6" s="279"/>
      <c r="E6" s="326" t="s">
        <v>220</v>
      </c>
      <c r="F6" s="327"/>
      <c r="G6" s="328" t="s">
        <v>221</v>
      </c>
      <c r="H6" s="329"/>
      <c r="I6" s="329"/>
    </row>
    <row r="7" spans="1:18" x14ac:dyDescent="0.25">
      <c r="A7" s="211" t="s">
        <v>153</v>
      </c>
      <c r="B7" s="212" t="s">
        <v>155</v>
      </c>
      <c r="C7" s="127"/>
      <c r="D7" s="127"/>
      <c r="E7" s="216" t="s">
        <v>56</v>
      </c>
      <c r="F7" s="216" t="s">
        <v>52</v>
      </c>
      <c r="G7" s="218" t="s">
        <v>56</v>
      </c>
      <c r="H7" s="218" t="s">
        <v>52</v>
      </c>
      <c r="I7" s="218" t="s">
        <v>53</v>
      </c>
    </row>
    <row r="8" spans="1:18" x14ac:dyDescent="0.25">
      <c r="A8" s="213">
        <v>0.75</v>
      </c>
      <c r="B8" s="214">
        <f>'Irr Alfalfa'!$B$9*$A8</f>
        <v>4.125</v>
      </c>
      <c r="C8" s="134">
        <f>'Irr Alfalfa'!$B$9*(1-'Irr Alfalfa'!$E$9)*$A8</f>
        <v>2.7637499999999999</v>
      </c>
      <c r="D8" s="134">
        <f>'Irr Alfalfa'!$B$9*'Irr Alfalfa'!$E$9*$A8</f>
        <v>1.3612500000000001</v>
      </c>
      <c r="E8" s="217">
        <f>('Irr Alfalfa'!F$48+(B8-B$10)*('Irr Alfalfa'!$D$26))/B8</f>
        <v>107.61584465727626</v>
      </c>
      <c r="F8" s="217">
        <f>('Irr Alfalfa'!G$48+(C8-C$10)*('Irr Alfalfa'!$D$26))/C8</f>
        <v>149.54791187280324</v>
      </c>
      <c r="G8" s="219">
        <f>('Irr Alfalfa'!F$63+(B8-B$10)*('Irr Alfalfa'!$D$26))/B8</f>
        <v>174.35523859667018</v>
      </c>
      <c r="H8" s="219">
        <f>('Irr Alfalfa'!G$63+(C8-C$10)*('Irr Alfalfa'!$D$26))/C8</f>
        <v>205.73968030337761</v>
      </c>
      <c r="I8" s="219">
        <f>IF($D8=0,"N/A",('Irr Alfalfa'!H$63+(D8-D$10)*('Irr Alfalfa'!$D$26))/D8)</f>
        <v>112.56474269972452</v>
      </c>
    </row>
    <row r="9" spans="1:18" x14ac:dyDescent="0.25">
      <c r="A9" s="213">
        <v>0.9</v>
      </c>
      <c r="B9" s="214">
        <f>'Irr Alfalfa'!$B$9*$A9</f>
        <v>4.95</v>
      </c>
      <c r="C9" s="134">
        <f>'Irr Alfalfa'!$B$9*(1-'Irr Alfalfa'!$E$9)*$A9</f>
        <v>3.3164999999999996</v>
      </c>
      <c r="D9" s="134">
        <f>'Irr Alfalfa'!$B$9*'Irr Alfalfa'!$E$9*$A9</f>
        <v>1.6335000000000002</v>
      </c>
      <c r="E9" s="217">
        <f>('Irr Alfalfa'!F$48+(B9-B$10)*('Irr Alfalfa'!$D$26))/B9</f>
        <v>96.346537214396875</v>
      </c>
      <c r="F9" s="217">
        <f>('Irr Alfalfa'!G$48+(C9-C$10)*('Irr Alfalfa'!$D$26))/C9</f>
        <v>131.28992656066936</v>
      </c>
      <c r="G9" s="219">
        <f>('Irr Alfalfa'!F$63+(B9-B$10)*('Irr Alfalfa'!$D$26))/B9</f>
        <v>151.96269883055848</v>
      </c>
      <c r="H9" s="219">
        <f>('Irr Alfalfa'!G$63+(C9-C$10)*('Irr Alfalfa'!$D$26))/C9</f>
        <v>178.11640025281469</v>
      </c>
      <c r="I9" s="219">
        <f>IF($D9=0,"N/A",('Irr Alfalfa'!H$63+(D9-D$10)*('Irr Alfalfa'!$D$26))/D9)</f>
        <v>100.4706189164371</v>
      </c>
    </row>
    <row r="10" spans="1:18" x14ac:dyDescent="0.25">
      <c r="A10" s="215">
        <v>1</v>
      </c>
      <c r="B10" s="214">
        <f>'Irr Alfalfa'!$B$9*$A10</f>
        <v>5.5</v>
      </c>
      <c r="C10" s="134">
        <f>'Irr Alfalfa'!$B$9*(1-'Irr Alfalfa'!$E$9)*$A10</f>
        <v>3.6849999999999996</v>
      </c>
      <c r="D10" s="134">
        <f>'Irr Alfalfa'!$B$9*'Irr Alfalfa'!$E$9*$A10</f>
        <v>1.8150000000000002</v>
      </c>
      <c r="E10" s="217">
        <f>('Irr Alfalfa'!F$48+(B10-B$10)*('Irr Alfalfa'!$D$26))/B10</f>
        <v>90.711883492957199</v>
      </c>
      <c r="F10" s="217">
        <f>('Irr Alfalfa'!G$48+(C10-C$10)*('Irr Alfalfa'!$D$26))/C10</f>
        <v>122.16093390460243</v>
      </c>
      <c r="G10" s="219">
        <f>('Irr Alfalfa'!F$63+(B10-B$10)*('Irr Alfalfa'!$D$26))/B10</f>
        <v>140.76642894750265</v>
      </c>
      <c r="H10" s="219">
        <f>('Irr Alfalfa'!G$63+(C10-C$10)*('Irr Alfalfa'!$D$26))/C10</f>
        <v>164.30476022753322</v>
      </c>
      <c r="I10" s="219">
        <f>IF($D10=0,"N/A",('Irr Alfalfa'!H$63+(D10-D$10)*('Irr Alfalfa'!$D$26))/D10)</f>
        <v>94.423557024793382</v>
      </c>
    </row>
    <row r="11" spans="1:18" x14ac:dyDescent="0.25">
      <c r="A11" s="213">
        <v>1.1000000000000001</v>
      </c>
      <c r="B11" s="214">
        <f>'Irr Alfalfa'!$B$9*$A11</f>
        <v>6.0500000000000007</v>
      </c>
      <c r="C11" s="134">
        <f>'Irr Alfalfa'!$B$9*(1-'Irr Alfalfa'!$E$9)*$A11</f>
        <v>4.0534999999999997</v>
      </c>
      <c r="D11" s="134">
        <f>'Irr Alfalfa'!$B$9*'Irr Alfalfa'!$E$9*$A11</f>
        <v>1.9965000000000004</v>
      </c>
      <c r="E11" s="217">
        <f>('Irr Alfalfa'!F$48+(B11-B$10)*('Irr Alfalfa'!$D$26))/B11</f>
        <v>86.101712266324711</v>
      </c>
      <c r="F11" s="217">
        <f>('Irr Alfalfa'!G$48+(C11-C$10)*('Irr Alfalfa'!$D$26))/C11</f>
        <v>114.69175809509312</v>
      </c>
      <c r="G11" s="219">
        <f>('Irr Alfalfa'!F$63+(B11-B$10)*('Irr Alfalfa'!$D$26))/B11</f>
        <v>131.60584449772966</v>
      </c>
      <c r="H11" s="219">
        <f>('Irr Alfalfa'!G$63+(C11-C$10)*('Irr Alfalfa'!$D$26))/C11</f>
        <v>153.00432747957566</v>
      </c>
      <c r="I11" s="219">
        <f>IF($D11=0,"N/A",('Irr Alfalfa'!H$63+(D11-D$10)*('Irr Alfalfa'!$D$26))/D11)</f>
        <v>89.475960931630354</v>
      </c>
    </row>
    <row r="12" spans="1:18" x14ac:dyDescent="0.25">
      <c r="A12" s="213">
        <v>1.25</v>
      </c>
      <c r="B12" s="214">
        <f>'Irr Alfalfa'!$B$9*$A12</f>
        <v>6.875</v>
      </c>
      <c r="C12" s="134">
        <f>'Irr Alfalfa'!$B$9*(1-'Irr Alfalfa'!$E$9)*$A12</f>
        <v>4.6062499999999993</v>
      </c>
      <c r="D12" s="134">
        <f>'Irr Alfalfa'!$B$9*'Irr Alfalfa'!$E$9*$A12</f>
        <v>2.2687500000000003</v>
      </c>
      <c r="E12" s="217">
        <f>('Irr Alfalfa'!F$48+(B12-B$10)*('Irr Alfalfa'!$D$26))/B12</f>
        <v>80.569506794365751</v>
      </c>
      <c r="F12" s="217">
        <f>('Irr Alfalfa'!G$48+(C12-C$10)*('Irr Alfalfa'!$D$26))/C12</f>
        <v>105.72874712368194</v>
      </c>
      <c r="G12" s="219">
        <f>('Irr Alfalfa'!F$63+(B12-B$10)*('Irr Alfalfa'!$D$26))/B12</f>
        <v>120.61314315800212</v>
      </c>
      <c r="H12" s="219">
        <f>('Irr Alfalfa'!G$63+(C12-C$10)*('Irr Alfalfa'!$D$26))/C12</f>
        <v>139.4438081820266</v>
      </c>
      <c r="I12" s="219">
        <f>IF($D12=0,"N/A",('Irr Alfalfa'!H$63+(D12-D$10)*('Irr Alfalfa'!$D$26))/D12)</f>
        <v>83.538845619834703</v>
      </c>
    </row>
    <row r="13" spans="1:18" x14ac:dyDescent="0.25">
      <c r="A13" s="260"/>
      <c r="B13" s="107"/>
      <c r="C13" s="135"/>
      <c r="D13" s="135"/>
      <c r="E13" s="133"/>
      <c r="F13" s="132"/>
      <c r="G13" s="132"/>
      <c r="H13" s="132"/>
      <c r="I13" s="132"/>
    </row>
    <row r="14" spans="1:18" x14ac:dyDescent="0.25">
      <c r="A14" s="325" t="str">
        <f>'Irr Canola'!A3:H3</f>
        <v>Irrigated Canola</v>
      </c>
      <c r="B14" s="325"/>
      <c r="C14" s="325"/>
      <c r="D14" s="325"/>
      <c r="E14" s="325"/>
      <c r="F14" s="325"/>
      <c r="G14" s="325"/>
      <c r="H14" s="325"/>
      <c r="I14" s="325"/>
    </row>
    <row r="15" spans="1:18" ht="28.5" customHeight="1" x14ac:dyDescent="0.25">
      <c r="A15" s="278"/>
      <c r="B15" s="278"/>
      <c r="C15" s="279"/>
      <c r="D15" s="279"/>
      <c r="E15" s="326" t="s">
        <v>220</v>
      </c>
      <c r="F15" s="327"/>
      <c r="G15" s="328" t="s">
        <v>221</v>
      </c>
      <c r="H15" s="329"/>
      <c r="I15" s="329"/>
    </row>
    <row r="16" spans="1:18" x14ac:dyDescent="0.25">
      <c r="A16" s="211" t="s">
        <v>153</v>
      </c>
      <c r="B16" s="212" t="s">
        <v>152</v>
      </c>
      <c r="C16" s="127"/>
      <c r="D16" s="127"/>
      <c r="E16" s="216" t="s">
        <v>56</v>
      </c>
      <c r="F16" s="216" t="s">
        <v>52</v>
      </c>
      <c r="G16" s="218" t="s">
        <v>56</v>
      </c>
      <c r="H16" s="218" t="s">
        <v>52</v>
      </c>
      <c r="I16" s="218" t="s">
        <v>53</v>
      </c>
    </row>
    <row r="17" spans="1:11" x14ac:dyDescent="0.25">
      <c r="A17" s="213">
        <v>0.75</v>
      </c>
      <c r="B17" s="214">
        <f>'Irr Canola'!$B$9*$A17</f>
        <v>16.5</v>
      </c>
      <c r="C17" s="134">
        <f>'Irr Canola'!$B$9*(1-'Irr Canola'!$E$9)*$A17</f>
        <v>11.055</v>
      </c>
      <c r="D17" s="134">
        <f>'Irr Canola'!$B$9*'Irr Canola'!$E$9*$A17</f>
        <v>5.4450000000000003</v>
      </c>
      <c r="E17" s="217">
        <f>('Irr Canola'!F$49+(B17-B$19)*('Irr Canola'!$D$27))/B17</f>
        <v>17.078770002048437</v>
      </c>
      <c r="F17" s="217">
        <f>('Irr Canola'!G$49+(C17-C$19)*('Irr Canola'!$D$27))/C17</f>
        <v>22.061237220186932</v>
      </c>
      <c r="G17" s="219">
        <f>('Irr Canola'!F$63+(B17-B$19)*('Irr Canola'!$D$27))/B17</f>
        <v>26.76301242629086</v>
      </c>
      <c r="H17" s="219">
        <f>('Irr Canola'!G$63+(C17-C$19)*('Irr Canola'!$D$27))/C17</f>
        <v>30.002440295718365</v>
      </c>
      <c r="I17" s="219">
        <f>IF($D17=0,"N/A",('Irr Canola'!H$63+(D17-D$19)*('Irr Canola'!$D$27))/D17)</f>
        <v>20.089257088423764</v>
      </c>
    </row>
    <row r="18" spans="1:11" x14ac:dyDescent="0.25">
      <c r="A18" s="213">
        <v>0.9</v>
      </c>
      <c r="B18" s="214">
        <f>'Irr Canola'!$B$9*$A18</f>
        <v>19.8</v>
      </c>
      <c r="C18" s="134">
        <f>'Irr Canola'!$B$9*(1-'Irr Canola'!$E$9)*$A18</f>
        <v>13.265999999999998</v>
      </c>
      <c r="D18" s="134">
        <f>'Irr Canola'!$B$9*'Irr Canola'!$E$9*$A18</f>
        <v>6.5340000000000007</v>
      </c>
      <c r="E18" s="217">
        <f>('Irr Canola'!F$49+(B18-B$19)*('Irr Canola'!$D$27))/B18</f>
        <v>14.307308335040366</v>
      </c>
      <c r="F18" s="217">
        <f>('Irr Canola'!G$49+(C18-C$19)*('Irr Canola'!$D$27))/C18</f>
        <v>18.459364350155781</v>
      </c>
      <c r="G18" s="219">
        <f>('Irr Canola'!F$63+(B18-B$19)*('Irr Canola'!$D$27))/B18</f>
        <v>22.377510355242382</v>
      </c>
      <c r="H18" s="219">
        <f>('Irr Canola'!G$63+(C18-C$19)*('Irr Canola'!$D$27))/C18</f>
        <v>25.077033579765306</v>
      </c>
      <c r="I18" s="219">
        <f>IF($D18=0,"N/A",('Irr Canola'!H$63+(D18-D$19)*('Irr Canola'!$D$27))/D18)</f>
        <v>16.816047573686468</v>
      </c>
    </row>
    <row r="19" spans="1:11" x14ac:dyDescent="0.25">
      <c r="A19" s="215">
        <v>1</v>
      </c>
      <c r="B19" s="214">
        <f>'Irr Canola'!$B$9*$A19</f>
        <v>22</v>
      </c>
      <c r="C19" s="134">
        <f>'Irr Canola'!$B$9*(1-'Irr Canola'!$E$9)*$A19</f>
        <v>14.739999999999998</v>
      </c>
      <c r="D19" s="134">
        <f>'Irr Canola'!$B$9*'Irr Canola'!$E$9*$A19</f>
        <v>7.2600000000000007</v>
      </c>
      <c r="E19" s="217">
        <f>('Irr Canola'!F$49+(B19-B$19)*('Irr Canola'!$D$27))/B19</f>
        <v>12.92157750153633</v>
      </c>
      <c r="F19" s="217">
        <f>('Irr Canola'!G$49+(C19-C$19)*('Irr Canola'!$D$27))/C19</f>
        <v>16.658427915140201</v>
      </c>
      <c r="G19" s="219">
        <f>('Irr Canola'!F$63+(B19-B$19)*('Irr Canola'!$D$27))/B19</f>
        <v>20.184759319718147</v>
      </c>
      <c r="H19" s="219">
        <f>('Irr Canola'!G$63+(C19-C$19)*('Irr Canola'!$D$27))/C19</f>
        <v>22.614330221788776</v>
      </c>
      <c r="I19" s="219">
        <f>IF($D19=0,"N/A",('Irr Canola'!H$63+(D19-D$19)*('Irr Canola'!$D$27))/D19)</f>
        <v>15.179442816317822</v>
      </c>
    </row>
    <row r="20" spans="1:11" x14ac:dyDescent="0.25">
      <c r="A20" s="213">
        <v>1.1000000000000001</v>
      </c>
      <c r="B20" s="214">
        <f>'Irr Canola'!$B$9*$A20</f>
        <v>24.200000000000003</v>
      </c>
      <c r="C20" s="134">
        <f>'Irr Canola'!$B$9*(1-'Irr Canola'!$E$9)*$A20</f>
        <v>16.213999999999999</v>
      </c>
      <c r="D20" s="134">
        <f>'Irr Canola'!$B$9*'Irr Canola'!$E$9*$A20</f>
        <v>7.9860000000000015</v>
      </c>
      <c r="E20" s="217">
        <f>('Irr Canola'!F$49+(B20-B$19)*('Irr Canola'!$D$27))/B20</f>
        <v>11.787797728669389</v>
      </c>
      <c r="F20" s="217">
        <f>('Irr Canola'!G$49+(C20-C$19)*('Irr Canola'!$D$27))/C20</f>
        <v>15.184934468309274</v>
      </c>
      <c r="G20" s="219">
        <f>('Irr Canola'!F$63+(B20-B$19)*('Irr Canola'!$D$27))/B20</f>
        <v>18.390690290652859</v>
      </c>
      <c r="H20" s="219">
        <f>('Irr Canola'!G$63+(C20-C$19)*('Irr Canola'!$D$27))/C20</f>
        <v>20.599391110717068</v>
      </c>
      <c r="I20" s="219">
        <f>IF($D20=0,"N/A",('Irr Canola'!H$63+(D20-D$19)*('Irr Canola'!$D$27))/D20)</f>
        <v>13.840402560288929</v>
      </c>
    </row>
    <row r="21" spans="1:11" x14ac:dyDescent="0.25">
      <c r="A21" s="213">
        <v>1.25</v>
      </c>
      <c r="B21" s="214">
        <f>'Irr Canola'!$B$9*$A21</f>
        <v>27.5</v>
      </c>
      <c r="C21" s="134">
        <f>'Irr Canola'!$B$9*(1-'Irr Canola'!$E$9)*$A21</f>
        <v>18.424999999999997</v>
      </c>
      <c r="D21" s="134">
        <f>'Irr Canola'!$B$9*'Irr Canola'!$E$9*$A21</f>
        <v>9.0750000000000011</v>
      </c>
      <c r="E21" s="217">
        <f>('Irr Canola'!F$49+(B21-B$19)*('Irr Canola'!$D$27))/B21</f>
        <v>10.427262001229064</v>
      </c>
      <c r="F21" s="217">
        <f>('Irr Canola'!G$49+(C21-C$19)*('Irr Canola'!$D$27))/C21</f>
        <v>13.416742332112163</v>
      </c>
      <c r="G21" s="219">
        <f>('Irr Canola'!F$63+(B21-B$19)*('Irr Canola'!$D$27))/B21</f>
        <v>16.237807455774519</v>
      </c>
      <c r="H21" s="219">
        <f>('Irr Canola'!G$63+(C21-C$19)*('Irr Canola'!$D$27))/C21</f>
        <v>18.181464177431021</v>
      </c>
      <c r="I21" s="219">
        <f>IF($D21=0,"N/A",('Irr Canola'!H$63+(D21-D$19)*('Irr Canola'!$D$27))/D21)</f>
        <v>12.233554253054258</v>
      </c>
    </row>
    <row r="22" spans="1:11" x14ac:dyDescent="0.25">
      <c r="A22" s="260"/>
      <c r="B22" s="41"/>
      <c r="C22" s="134"/>
      <c r="D22" s="134"/>
      <c r="E22" s="133"/>
      <c r="F22" s="132"/>
      <c r="G22" s="132"/>
      <c r="H22" s="132"/>
      <c r="I22" s="132"/>
    </row>
    <row r="23" spans="1:11" ht="13.5" customHeight="1" x14ac:dyDescent="0.25">
      <c r="A23" s="325" t="str">
        <f>'Irr Corn'!A3:H3</f>
        <v>Irrigated Corn</v>
      </c>
      <c r="B23" s="325"/>
      <c r="C23" s="325"/>
      <c r="D23" s="325"/>
      <c r="E23" s="325"/>
      <c r="F23" s="325"/>
      <c r="G23" s="325"/>
      <c r="H23" s="325"/>
      <c r="I23" s="325"/>
    </row>
    <row r="24" spans="1:11" ht="28.5" customHeight="1" x14ac:dyDescent="0.25">
      <c r="A24" s="278"/>
      <c r="B24" s="278"/>
      <c r="C24" s="279"/>
      <c r="D24" s="279"/>
      <c r="E24" s="326" t="s">
        <v>220</v>
      </c>
      <c r="F24" s="327"/>
      <c r="G24" s="328" t="s">
        <v>221</v>
      </c>
      <c r="H24" s="329"/>
      <c r="I24" s="329"/>
    </row>
    <row r="25" spans="1:11" ht="13.5" customHeight="1" x14ac:dyDescent="0.25">
      <c r="A25" s="211" t="s">
        <v>153</v>
      </c>
      <c r="B25" s="212" t="s">
        <v>154</v>
      </c>
      <c r="C25" s="127"/>
      <c r="D25" s="127"/>
      <c r="E25" s="216" t="s">
        <v>56</v>
      </c>
      <c r="F25" s="216" t="s">
        <v>52</v>
      </c>
      <c r="G25" s="218" t="s">
        <v>56</v>
      </c>
      <c r="H25" s="218" t="s">
        <v>52</v>
      </c>
      <c r="I25" s="218" t="s">
        <v>53</v>
      </c>
    </row>
    <row r="26" spans="1:11" ht="13.5" customHeight="1" x14ac:dyDescent="0.25">
      <c r="A26" s="213">
        <v>0.75</v>
      </c>
      <c r="B26" s="214">
        <f>'Irr Corn'!$B$9*$A26</f>
        <v>168.75</v>
      </c>
      <c r="C26" s="134">
        <f>'Irr Corn'!$B$9*(1-'Irr Corn'!$E$9)*$A26</f>
        <v>113.06249999999997</v>
      </c>
      <c r="D26" s="134">
        <f>'Irr Corn'!$B$9*'Irr Corn'!$E$9*$A26</f>
        <v>55.6875</v>
      </c>
      <c r="E26" s="217">
        <f>('Irr Corn'!F$47+(B26-B$28)*('Irr Corn'!$D$25))/B26</f>
        <v>3.6563451438136338</v>
      </c>
      <c r="F26" s="217">
        <f>('Irr Corn'!G$47+(C26-C$28)*('Irr Corn'!$D$25))/C26</f>
        <v>4.782666243698551</v>
      </c>
      <c r="G26" s="219">
        <f>('Irr Corn'!F$61+(B26-B$28)*('Irr Corn'!$D$25))/B26</f>
        <v>5.0133821808506713</v>
      </c>
      <c r="H26" s="219">
        <f>('Irr Corn'!G$61+(C26-C$28)*('Irr Corn'!$D$25))/C26</f>
        <v>6.8080946571866656</v>
      </c>
      <c r="I26" s="219">
        <f>IF($D26=0,"N/A",('Irr Corn'!H$61+(D26-D$28)*('Irr Corn'!$D$25))/D26)</f>
        <v>1.453828601851852</v>
      </c>
    </row>
    <row r="27" spans="1:11" ht="13.5" customHeight="1" x14ac:dyDescent="0.25">
      <c r="A27" s="213">
        <v>0.9</v>
      </c>
      <c r="B27" s="214">
        <f>'Irr Corn'!$B$9*$A27</f>
        <v>202.5</v>
      </c>
      <c r="C27" s="134">
        <f>'Irr Corn'!$B$9*(1-'Irr Corn'!$E$9)*$A27</f>
        <v>135.67499999999998</v>
      </c>
      <c r="D27" s="134">
        <f>'Irr Corn'!$B$9*'Irr Corn'!$E$9*$A27</f>
        <v>66.825000000000003</v>
      </c>
      <c r="E27" s="217">
        <f>('Irr Corn'!F$47+(B27-B$28)*('Irr Corn'!$D$25))/B27</f>
        <v>3.1136209531780281</v>
      </c>
      <c r="F27" s="217">
        <f>('Irr Corn'!G$47+(C27-C$28)*('Irr Corn'!$D$25))/C27</f>
        <v>4.0522218697487924</v>
      </c>
      <c r="G27" s="219">
        <f>('Irr Corn'!F$61+(B27-B$28)*('Irr Corn'!$D$25))/B27</f>
        <v>4.2444851507088925</v>
      </c>
      <c r="H27" s="219">
        <f>('Irr Corn'!G$61+(C27-C$28)*('Irr Corn'!$D$25))/C27</f>
        <v>5.7400788809888885</v>
      </c>
      <c r="I27" s="219">
        <f>IF($D27=0,"N/A",('Irr Corn'!H$61+(D27-D$28)*('Irr Corn'!$D$25))/D27)</f>
        <v>1.27819050154321</v>
      </c>
    </row>
    <row r="28" spans="1:11" ht="13.5" customHeight="1" x14ac:dyDescent="0.25">
      <c r="A28" s="215">
        <v>1</v>
      </c>
      <c r="B28" s="214">
        <f>'Irr Corn'!$B$9*$A28</f>
        <v>225</v>
      </c>
      <c r="C28" s="134">
        <f>'Irr Corn'!$B$9*(1-'Irr Corn'!$E$9)*$A28</f>
        <v>150.74999999999997</v>
      </c>
      <c r="D28" s="134">
        <f>'Irr Corn'!$B$9*'Irr Corn'!$E$9*$A28</f>
        <v>74.25</v>
      </c>
      <c r="E28" s="217">
        <f>('Irr Corn'!F$47+(B28-B$28)*('Irr Corn'!$D$25))/B28</f>
        <v>2.8422588578602253</v>
      </c>
      <c r="F28" s="217">
        <f>('Irr Corn'!G$47+(C28-C$28)*('Irr Corn'!$D$25))/C28</f>
        <v>3.6869996827739131</v>
      </c>
      <c r="G28" s="219">
        <f>('Irr Corn'!F$61+(B28-B$28)*('Irr Corn'!$D$25))/B28</f>
        <v>3.8600366356380031</v>
      </c>
      <c r="H28" s="219">
        <f>('Irr Corn'!G$61+(C28-C$28)*('Irr Corn'!$D$25))/C28</f>
        <v>5.20607099289</v>
      </c>
      <c r="I28" s="219">
        <f>IF($D28=0,"N/A",('Irr Corn'!H$61+(D28-D$28)*('Irr Corn'!$D$25))/D28)</f>
        <v>1.190371451388889</v>
      </c>
    </row>
    <row r="29" spans="1:11" ht="13.5" customHeight="1" x14ac:dyDescent="0.25">
      <c r="A29" s="213">
        <v>1.1000000000000001</v>
      </c>
      <c r="B29" s="214">
        <f>'Irr Corn'!$B$9*$A29</f>
        <v>247.50000000000003</v>
      </c>
      <c r="C29" s="134">
        <f>'Irr Corn'!$B$9*(1-'Irr Corn'!$E$9)*$A29</f>
        <v>165.82499999999999</v>
      </c>
      <c r="D29" s="134">
        <f>'Irr Corn'!$B$9*'Irr Corn'!$E$9*$A29</f>
        <v>81.675000000000011</v>
      </c>
      <c r="E29" s="217">
        <f>('Irr Corn'!F$47+(B29-B$28)*('Irr Corn'!$D$25))/B29</f>
        <v>2.6202353253274775</v>
      </c>
      <c r="F29" s="217">
        <f>('Irr Corn'!G$47+(C29-C$28)*('Irr Corn'!$D$25))/C29</f>
        <v>3.388181529794466</v>
      </c>
      <c r="G29" s="219">
        <f>('Irr Corn'!F$61+(B29-B$28)*('Irr Corn'!$D$25))/B29</f>
        <v>3.5454878505800025</v>
      </c>
      <c r="H29" s="219">
        <f>('Irr Corn'!G$61+(C29-C$28)*('Irr Corn'!$D$25))/C29</f>
        <v>4.7691554480818175</v>
      </c>
      <c r="I29" s="219">
        <f>IF($D29=0,"N/A",('Irr Corn'!H$61+(D29-D$28)*('Irr Corn'!$D$25))/D29)</f>
        <v>1.1185195012626261</v>
      </c>
    </row>
    <row r="30" spans="1:11" ht="13.5" customHeight="1" x14ac:dyDescent="0.25">
      <c r="A30" s="213">
        <v>1.25</v>
      </c>
      <c r="B30" s="214">
        <f>'Irr Corn'!$B$9*$A30</f>
        <v>281.25</v>
      </c>
      <c r="C30" s="134">
        <f>'Irr Corn'!$B$9*(1-'Irr Corn'!$E$9)*$A30</f>
        <v>188.43749999999997</v>
      </c>
      <c r="D30" s="134">
        <f>'Irr Corn'!$B$9*'Irr Corn'!$E$9*$A30</f>
        <v>92.8125</v>
      </c>
      <c r="E30" s="217">
        <f>('Irr Corn'!F$47+(B30-B$28)*('Irr Corn'!$D$25))/B30</f>
        <v>2.3538070862881804</v>
      </c>
      <c r="F30" s="217">
        <f>('Irr Corn'!G$47+(C30-C$28)*('Irr Corn'!$D$25))/C30</f>
        <v>3.0295997462191306</v>
      </c>
      <c r="G30" s="219">
        <f>('Irr Corn'!F$61+(B30-B$28)*('Irr Corn'!$D$25))/B30</f>
        <v>3.1680293085104028</v>
      </c>
      <c r="H30" s="219">
        <f>('Irr Corn'!G$61+(C30-C$28)*('Irr Corn'!$D$25))/C30</f>
        <v>4.2448567943119997</v>
      </c>
      <c r="I30" s="219">
        <f>IF($D30=0,"N/A",('Irr Corn'!H$61+(D30-D$28)*('Irr Corn'!$D$25))/D30)</f>
        <v>1.0322971611111111</v>
      </c>
    </row>
    <row r="31" spans="1:11" ht="13.5" customHeight="1" x14ac:dyDescent="0.25">
      <c r="A31" s="260"/>
      <c r="B31" s="41"/>
      <c r="C31" s="134"/>
      <c r="D31" s="134"/>
      <c r="E31" s="133"/>
      <c r="F31" s="132"/>
      <c r="G31" s="132"/>
      <c r="H31" s="132"/>
      <c r="I31" s="132"/>
    </row>
    <row r="32" spans="1:11" x14ac:dyDescent="0.25">
      <c r="A32" s="325" t="str">
        <f>'Irr Corn Silage'!A3:H3</f>
        <v>Irrigated Corn Silage</v>
      </c>
      <c r="B32" s="325"/>
      <c r="C32" s="325"/>
      <c r="D32" s="325"/>
      <c r="E32" s="325"/>
      <c r="F32" s="325"/>
      <c r="G32" s="325"/>
      <c r="H32" s="325"/>
      <c r="I32" s="325"/>
      <c r="J32" s="110"/>
      <c r="K32" s="110"/>
    </row>
    <row r="33" spans="1:11" ht="28.5" customHeight="1" x14ac:dyDescent="0.25">
      <c r="A33" s="278"/>
      <c r="B33" s="278"/>
      <c r="C33" s="279"/>
      <c r="D33" s="279"/>
      <c r="E33" s="326" t="s">
        <v>220</v>
      </c>
      <c r="F33" s="327"/>
      <c r="G33" s="328" t="s">
        <v>221</v>
      </c>
      <c r="H33" s="329"/>
      <c r="I33" s="329"/>
    </row>
    <row r="34" spans="1:11" x14ac:dyDescent="0.25">
      <c r="A34" s="211" t="s">
        <v>153</v>
      </c>
      <c r="B34" s="292" t="s">
        <v>155</v>
      </c>
      <c r="C34" s="127"/>
      <c r="D34" s="127"/>
      <c r="E34" s="216" t="s">
        <v>56</v>
      </c>
      <c r="F34" s="216" t="s">
        <v>52</v>
      </c>
      <c r="G34" s="218" t="s">
        <v>56</v>
      </c>
      <c r="H34" s="218" t="s">
        <v>52</v>
      </c>
      <c r="I34" s="218" t="s">
        <v>53</v>
      </c>
      <c r="J34" s="109"/>
    </row>
    <row r="35" spans="1:11" x14ac:dyDescent="0.25">
      <c r="A35" s="213">
        <v>0.75</v>
      </c>
      <c r="B35" s="214">
        <f>'Irr Corn Silage'!$B$9*$A35</f>
        <v>20.25</v>
      </c>
      <c r="C35" s="134">
        <f>'Irr Corn Silage'!$B$9*(1-'Irr Corn Silage'!$E$9)*$A35</f>
        <v>13.567499999999997</v>
      </c>
      <c r="D35" s="134">
        <f>'Irr Corn Silage'!$B$9*'Irr Corn Silage'!$E$9*$A35</f>
        <v>6.6825000000000001</v>
      </c>
      <c r="E35" s="217">
        <f>('Irr Corn Silage'!F$47+(B35-B$37)*('Irr Corn Silage'!$D$25))/B35</f>
        <v>36.753303825484991</v>
      </c>
      <c r="F35" s="217">
        <f>('Irr Corn Silage'!G$47+(C35-C$37)*('Irr Corn Silage'!$D$25))/C35</f>
        <v>50.253520607125822</v>
      </c>
      <c r="G35" s="219">
        <f>('Irr Corn Silage'!F$61+(B35-B$37)*('Irr Corn Silage'!$D$25))/B35</f>
        <v>48.274785306966471</v>
      </c>
      <c r="H35" s="219">
        <f>('Irr Corn Silage'!G$61+(C35-C$37)*('Irr Corn Silage'!$D$25))/C35</f>
        <v>58.605096063178891</v>
      </c>
      <c r="I35" s="219">
        <f>IF($D35=0,"N/A",('Irr Corn Silage'!H$61+(D35-D$37)*('Irr Corn Silage'!$D$25))/D35)</f>
        <v>28.043577293771047</v>
      </c>
      <c r="J35" s="108"/>
    </row>
    <row r="36" spans="1:11" x14ac:dyDescent="0.25">
      <c r="A36" s="213">
        <v>0.9</v>
      </c>
      <c r="B36" s="214">
        <f>'Irr Corn Silage'!$B$9*$A36</f>
        <v>24.3</v>
      </c>
      <c r="C36" s="134">
        <f>'Irr Corn Silage'!$B$9*(1-'Irr Corn Silage'!$E$9)*$A36</f>
        <v>16.280999999999999</v>
      </c>
      <c r="D36" s="134">
        <f>'Irr Corn Silage'!$B$9*'Irr Corn Silage'!$E$9*$A36</f>
        <v>8.0190000000000001</v>
      </c>
      <c r="E36" s="217">
        <f>('Irr Corn Silage'!F$47+(B36-B$37)*('Irr Corn Silage'!$D$25))/B36</f>
        <v>32.134419854570822</v>
      </c>
      <c r="F36" s="217">
        <f>('Irr Corn Silage'!G$47+(C36-C$37)*('Irr Corn Silage'!$D$25))/C36</f>
        <v>43.384600505938181</v>
      </c>
      <c r="G36" s="219">
        <f>('Irr Corn Silage'!F$61+(B36-B$37)*('Irr Corn Silage'!$D$25))/B36</f>
        <v>41.735654422472052</v>
      </c>
      <c r="H36" s="219">
        <f>('Irr Corn Silage'!G$61+(C36-C$37)*('Irr Corn Silage'!$D$25))/C36</f>
        <v>50.344246719315734</v>
      </c>
      <c r="I36" s="219">
        <f>IF($D36=0,"N/A",('Irr Corn Silage'!H$61+(D36-D$37)*('Irr Corn Silage'!$D$25))/D36)</f>
        <v>24.876314411475871</v>
      </c>
      <c r="J36" s="108"/>
    </row>
    <row r="37" spans="1:11" x14ac:dyDescent="0.25">
      <c r="A37" s="215">
        <v>1</v>
      </c>
      <c r="B37" s="214">
        <f>'Irr Corn Silage'!$B$9*$A37</f>
        <v>27</v>
      </c>
      <c r="C37" s="134">
        <f>'Irr Corn Silage'!$B$9*(1-'Irr Corn Silage'!$E$9)*$A37</f>
        <v>18.089999999999996</v>
      </c>
      <c r="D37" s="134">
        <f>'Irr Corn Silage'!$B$9*'Irr Corn Silage'!$E$9*$A37</f>
        <v>8.91</v>
      </c>
      <c r="E37" s="217">
        <f>('Irr Corn Silage'!F$47+(B37-B$37)*('Irr Corn Silage'!$D$25))/B37</f>
        <v>29.824977869113741</v>
      </c>
      <c r="F37" s="217">
        <f>('Irr Corn Silage'!G$47+(C37-C$37)*('Irr Corn Silage'!$D$25))/C37</f>
        <v>39.950140455344368</v>
      </c>
      <c r="G37" s="219">
        <f>('Irr Corn Silage'!F$61+(B37-B$37)*('Irr Corn Silage'!$D$25))/B37</f>
        <v>38.466088980224853</v>
      </c>
      <c r="H37" s="219">
        <f>('Irr Corn Silage'!G$61+(C37-C$37)*('Irr Corn Silage'!$D$25))/C37</f>
        <v>46.213822047384163</v>
      </c>
      <c r="I37" s="219">
        <f>IF($D37=0,"N/A",('Irr Corn Silage'!H$61+(D37-D$37)*('Irr Corn Silage'!$D$25))/D37)</f>
        <v>23.292682970328286</v>
      </c>
      <c r="J37" s="108"/>
    </row>
    <row r="38" spans="1:11" x14ac:dyDescent="0.25">
      <c r="A38" s="213">
        <v>1.1000000000000001</v>
      </c>
      <c r="B38" s="214">
        <f>'Irr Corn Silage'!$B$9*$A38</f>
        <v>29.700000000000003</v>
      </c>
      <c r="C38" s="134">
        <f>'Irr Corn Silage'!$B$9*(1-'Irr Corn Silage'!$E$9)*$A38</f>
        <v>19.898999999999997</v>
      </c>
      <c r="D38" s="134">
        <f>'Irr Corn Silage'!$B$9*'Irr Corn Silage'!$E$9*$A38</f>
        <v>9.8010000000000002</v>
      </c>
      <c r="E38" s="217">
        <f>('Irr Corn Silage'!F$47+(B38-B$37)*('Irr Corn Silage'!$D$25))/B38</f>
        <v>27.935434426467037</v>
      </c>
      <c r="F38" s="217">
        <f>('Irr Corn Silage'!G$47+(C38-C$37)*('Irr Corn Silage'!$D$25))/C38</f>
        <v>37.140127686676699</v>
      </c>
      <c r="G38" s="219">
        <f>('Irr Corn Silage'!F$61+(B38-B$37)*('Irr Corn Silage'!$D$25))/B38</f>
        <v>35.790989982022595</v>
      </c>
      <c r="H38" s="219">
        <f>('Irr Corn Silage'!G$61+(C38-C$37)*('Irr Corn Silage'!$D$25))/C38</f>
        <v>42.834383679440151</v>
      </c>
      <c r="I38" s="219">
        <f>IF($D38=0,"N/A",('Irr Corn Silage'!H$61+(D38-D$37)*('Irr Corn Silage'!$D$25))/D38)</f>
        <v>21.996984518480261</v>
      </c>
      <c r="J38" s="108"/>
    </row>
    <row r="39" spans="1:11" x14ac:dyDescent="0.25">
      <c r="A39" s="213">
        <v>1.25</v>
      </c>
      <c r="B39" s="214">
        <f>'Irr Corn Silage'!$B$9*$A39</f>
        <v>33.75</v>
      </c>
      <c r="C39" s="134">
        <f>'Irr Corn Silage'!$B$9*(1-'Irr Corn Silage'!$E$9)*$A39</f>
        <v>22.612499999999997</v>
      </c>
      <c r="D39" s="134">
        <f>'Irr Corn Silage'!$B$9*'Irr Corn Silage'!$E$9*$A39</f>
        <v>11.137499999999999</v>
      </c>
      <c r="E39" s="217">
        <f>('Irr Corn Silage'!F$47+(B39-B$37)*('Irr Corn Silage'!$D$25))/B39</f>
        <v>25.667982295290994</v>
      </c>
      <c r="F39" s="217">
        <f>('Irr Corn Silage'!G$47+(C39-C$37)*('Irr Corn Silage'!$D$25))/C39</f>
        <v>33.768112364275488</v>
      </c>
      <c r="G39" s="219">
        <f>('Irr Corn Silage'!F$61+(B39-B$37)*('Irr Corn Silage'!$D$25))/B39</f>
        <v>32.580871184179877</v>
      </c>
      <c r="H39" s="219">
        <f>('Irr Corn Silage'!G$61+(C39-C$37)*('Irr Corn Silage'!$D$25))/C39</f>
        <v>38.779057637907329</v>
      </c>
      <c r="I39" s="219">
        <f>IF($D39=0,"N/A",('Irr Corn Silage'!H$61+(D39-D$37)*('Irr Corn Silage'!$D$25))/D39)</f>
        <v>20.442146376262627</v>
      </c>
      <c r="J39" s="108"/>
    </row>
    <row r="40" spans="1:11" x14ac:dyDescent="0.25">
      <c r="A40" s="260"/>
      <c r="B40" s="41"/>
      <c r="C40" s="134"/>
      <c r="D40" s="134"/>
      <c r="E40" s="133"/>
      <c r="F40" s="132"/>
      <c r="G40" s="132"/>
      <c r="H40" s="132"/>
      <c r="I40" s="132"/>
      <c r="J40" s="108"/>
    </row>
    <row r="41" spans="1:11" x14ac:dyDescent="0.25">
      <c r="A41" s="325" t="str">
        <f>'Irr Cotton'!A3:H3</f>
        <v>Irrigated Cotton</v>
      </c>
      <c r="B41" s="325"/>
      <c r="C41" s="325"/>
      <c r="D41" s="325"/>
      <c r="E41" s="325"/>
      <c r="F41" s="325"/>
      <c r="G41" s="325"/>
      <c r="H41" s="325"/>
      <c r="I41" s="325"/>
      <c r="J41" s="110"/>
      <c r="K41" s="110"/>
    </row>
    <row r="42" spans="1:11" ht="28.5" customHeight="1" x14ac:dyDescent="0.25">
      <c r="A42" s="278"/>
      <c r="B42" s="278"/>
      <c r="C42" s="279"/>
      <c r="D42" s="279"/>
      <c r="E42" s="326" t="s">
        <v>220</v>
      </c>
      <c r="F42" s="327"/>
      <c r="G42" s="328" t="s">
        <v>221</v>
      </c>
      <c r="H42" s="329"/>
      <c r="I42" s="329"/>
    </row>
    <row r="43" spans="1:11" x14ac:dyDescent="0.25">
      <c r="A43" s="211" t="s">
        <v>153</v>
      </c>
      <c r="B43" s="292" t="s">
        <v>252</v>
      </c>
      <c r="C43" s="127"/>
      <c r="D43" s="127"/>
      <c r="E43" s="216" t="s">
        <v>56</v>
      </c>
      <c r="F43" s="216" t="s">
        <v>52</v>
      </c>
      <c r="G43" s="218" t="s">
        <v>56</v>
      </c>
      <c r="H43" s="218" t="s">
        <v>52</v>
      </c>
      <c r="I43" s="218" t="s">
        <v>53</v>
      </c>
      <c r="J43" s="109"/>
    </row>
    <row r="44" spans="1:11" x14ac:dyDescent="0.25">
      <c r="A44" s="213">
        <v>0.75</v>
      </c>
      <c r="B44" s="214">
        <f>'Irr Cotton'!$B$9*$A44</f>
        <v>937.5</v>
      </c>
      <c r="C44" s="134">
        <f>'Irr Cotton'!$B$9*(1-'Irr Cotton'!$E$9)*$A44</f>
        <v>628.12499999999989</v>
      </c>
      <c r="D44" s="134">
        <f>'Irr Cotton'!$B$9*'Irr Cotton'!$E$9*$A44</f>
        <v>309.375</v>
      </c>
      <c r="E44" s="217">
        <f>('Irr Cotton'!F$52-B44/500*'Universal Input Prices'!$B$39/2000*Cottonseed_Price+(B44-B$46)/100*'Irr Cotton'!$D$29+(B44-B$46)/'Irr Cotton'!$B$11/100*'Irr Cotton'!D$30)/B44</f>
        <v>0.47987585397005211</v>
      </c>
      <c r="F44" s="217">
        <f>('Irr Cotton'!G$52-C44/500*'Universal Input Prices'!$B$39/2000*Cottonseed_Price+(C44-C$46)/100*'Irr Cotton'!$D$29+(C44-C$46)/'Irr Cotton'!$B$11/100*'Irr Cotton'!$D$30)/C44</f>
        <v>0.6303803321183028</v>
      </c>
      <c r="G44" s="219">
        <f>('Irr Cotton'!F$66-B44/500*'Universal Input Prices'!$B$39/2000*Cottonseed_Price+(B44-B$46)/100*'Irr Cotton'!$D$29+(B44-B$46)/'Irr Cotton'!$B$11/100*'Irr Cotton'!$D$30)/B44</f>
        <v>0.64231852063671868</v>
      </c>
      <c r="H44" s="219">
        <f>('Irr Cotton'!G$66-C44/500*'Universal Input Prices'!$B$39/2000*Cottonseed_Price+(C44-C$46)/100*'Irr Cotton'!$D$29+(C44-C$46)/100*'Irr Cotton'!$B$11*'Irr Cotton'!$D$30)/C44</f>
        <v>0.78934643480441347</v>
      </c>
      <c r="I44" s="219">
        <f>IF($D44=0,"N/A",('Irr Cotton'!H$66-D44/500*'Universal Input Prices'!$B$39/2000*Cottonseed_Price+(D44-D$46)/100*'Irr Cotton'!$D$29+(D44-D$46)/100*'Irr Cotton'!$B$11*'Irr Cotton'!$D$30)/D44)</f>
        <v>0.43540969260734186</v>
      </c>
      <c r="J44" s="108"/>
    </row>
    <row r="45" spans="1:11" x14ac:dyDescent="0.25">
      <c r="A45" s="213">
        <v>0.9</v>
      </c>
      <c r="B45" s="214">
        <f>'Irr Cotton'!$B$9*$A45</f>
        <v>1125</v>
      </c>
      <c r="C45" s="134">
        <f>'Irr Cotton'!$B$9*(1-'Irr Cotton'!$E$9)*$A45</f>
        <v>753.74999999999989</v>
      </c>
      <c r="D45" s="134">
        <f>'Irr Cotton'!$B$9*'Irr Cotton'!$E$9*$A45</f>
        <v>371.25</v>
      </c>
      <c r="E45" s="217">
        <f>('Irr Cotton'!F$52-B45/500*'Universal Input Prices'!$B$39/2000*Cottonseed_Price+(B45-B$46)/100*'Irr Cotton'!$D$29+(B45-B$46)/'Irr Cotton'!$B$11/100*'Irr Cotton'!D$30)/B45</f>
        <v>0.40504945017382016</v>
      </c>
      <c r="F45" s="217">
        <f>('Irr Cotton'!G$52-C45/500*'Universal Input Prices'!$B$39/2000*Cottonseed_Price+(C45-C$46)/100*'Irr Cotton'!$D$29+(C45-C$46)/'Irr Cotton'!$B$11/100*'Irr Cotton'!$D$30)/C45</f>
        <v>0.53046984863069568</v>
      </c>
      <c r="G45" s="219">
        <f>('Irr Cotton'!F$66-B45/500*'Universal Input Prices'!$B$39/2000*Cottonseed_Price+(B45-B$46)/100*'Irr Cotton'!$D$29+(B45-B$46)/'Irr Cotton'!$B$11/100*'Irr Cotton'!$D$30)/B45</f>
        <v>0.54041833906270897</v>
      </c>
      <c r="H45" s="219">
        <f>('Irr Cotton'!G$66-C45/500*'Universal Input Prices'!$B$39/2000*Cottonseed_Price+(C45-C$46)/100*'Irr Cotton'!$D$29+(C45-C$46)/100*'Irr Cotton'!$B$11*'Irr Cotton'!$D$30)/C45</f>
        <v>0.64737098733701126</v>
      </c>
      <c r="I45" s="219">
        <f>IF($D45=0,"N/A",('Irr Cotton'!H$66-D45/500*'Universal Input Prices'!$B$39/2000*Cottonseed_Price+(D45-D$46)/100*'Irr Cotton'!$D$29+(D45-D$46)/100*'Irr Cotton'!$B$11*'Irr Cotton'!$D$30)/D45)</f>
        <v>0.3524237021727849</v>
      </c>
      <c r="J45" s="108"/>
    </row>
    <row r="46" spans="1:11" x14ac:dyDescent="0.25">
      <c r="A46" s="215">
        <v>1</v>
      </c>
      <c r="B46" s="214">
        <f>'Irr Cotton'!$B$9*$A46</f>
        <v>1250</v>
      </c>
      <c r="C46" s="134">
        <f>'Irr Cotton'!$B$9*(1-'Irr Cotton'!$E$9)*$A46</f>
        <v>837.49999999999989</v>
      </c>
      <c r="D46" s="134">
        <f>'Irr Cotton'!$B$9*'Irr Cotton'!$E$9*$A46</f>
        <v>412.5</v>
      </c>
      <c r="E46" s="217">
        <f>('Irr Cotton'!F$52-B46/500*'Universal Input Prices'!$B$39/2000*Cottonseed_Price+(B46-B$46)/100*'Irr Cotton'!$D$29+(B46-B$46)/'Irr Cotton'!$B$11/100*'Irr Cotton'!D$30)/B46</f>
        <v>0.36763624827570418</v>
      </c>
      <c r="F46" s="217">
        <f>('Irr Cotton'!G$52-C46/500*'Universal Input Prices'!$B$39/2000*Cottonseed_Price+(C46-C$46)/100*'Irr Cotton'!$D$29+(C46-C$46)/'Irr Cotton'!$B$11/100*'Irr Cotton'!$D$30)/C46</f>
        <v>0.48051460688689218</v>
      </c>
      <c r="G46" s="219">
        <f>('Irr Cotton'!F$66-B46/500*'Universal Input Prices'!$B$39/2000*Cottonseed_Price+(B46-B$46)/100*'Irr Cotton'!$D$29+(B46-B$46)/'Irr Cotton'!$B$11/100*'Irr Cotton'!$D$30)/B46</f>
        <v>0.48946824827570418</v>
      </c>
      <c r="H46" s="219">
        <f>('Irr Cotton'!G$66-C46/500*'Universal Input Prices'!$B$39/2000*Cottonseed_Price+(C46-C$46)/100*'Irr Cotton'!$D$29+(C46-C$46)/100*'Irr Cotton'!$B$11*'Irr Cotton'!$D$30)/C46</f>
        <v>0.57638326360331005</v>
      </c>
      <c r="I46" s="219">
        <f>IF($D46=0,"N/A",('Irr Cotton'!H$66-D46/500*'Universal Input Prices'!$B$39/2000*Cottonseed_Price+(D46-D$46)/100*'Irr Cotton'!$D$29+(D46-D$46)/100*'Irr Cotton'!$B$11*'Irr Cotton'!$D$30)/D46)</f>
        <v>0.3109307069555064</v>
      </c>
      <c r="J46" s="108"/>
    </row>
    <row r="47" spans="1:11" x14ac:dyDescent="0.25">
      <c r="A47" s="213">
        <v>1.1000000000000001</v>
      </c>
      <c r="B47" s="214">
        <f>'Irr Cotton'!$B$9*$A47</f>
        <v>1375</v>
      </c>
      <c r="C47" s="134">
        <f>'Irr Cotton'!$B$9*(1-'Irr Cotton'!$E$9)*$A47</f>
        <v>921.25</v>
      </c>
      <c r="D47" s="134">
        <f>'Irr Cotton'!$B$9*'Irr Cotton'!$E$9*$A47</f>
        <v>453.75000000000006</v>
      </c>
      <c r="E47" s="217">
        <f>('Irr Cotton'!F$52-B47/500*'Universal Input Prices'!$B$39/2000*Cottonseed_Price+(B47-B$46)/100*'Irr Cotton'!$D$29+(B47-B$46)/'Irr Cotton'!$B$11/100*'Irr Cotton'!D$30)/B47</f>
        <v>0.33702544672270024</v>
      </c>
      <c r="F47" s="217">
        <f>('Irr Cotton'!G$52-C47/500*'Universal Input Prices'!$B$39/2000*Cottonseed_Price+(C47-C$46)/100*'Irr Cotton'!$D$29+(C47-C$46)/'Irr Cotton'!$B$11/100*'Irr Cotton'!$D$30)/C47</f>
        <v>0.43964213636923472</v>
      </c>
      <c r="G47" s="219">
        <f>('Irr Cotton'!F$66-B47/500*'Universal Input Prices'!$B$39/2000*Cottonseed_Price+(B47-B$46)/100*'Irr Cotton'!$D$29+(B47-B$46)/'Irr Cotton'!$B$11/100*'Irr Cotton'!$D$30)/B47</f>
        <v>0.44778181035906389</v>
      </c>
      <c r="H47" s="219">
        <f>('Irr Cotton'!G$66-C47/500*'Universal Input Prices'!$B$39/2000*Cottonseed_Price+(C47-C$46)/100*'Irr Cotton'!$D$29+(C47-C$46)/100*'Irr Cotton'!$B$11*'Irr Cotton'!$D$30)/C47</f>
        <v>0.51830239873028183</v>
      </c>
      <c r="I47" s="219">
        <f>IF($D47=0,"N/A",('Irr Cotton'!H$66-D47/500*'Universal Input Prices'!$B$39/2000*Cottonseed_Price+(D47-D$46)/100*'Irr Cotton'!$D$29+(D47-D$46)/100*'Irr Cotton'!$B$11*'Irr Cotton'!$D$30)/D47)</f>
        <v>0.27698189268682399</v>
      </c>
      <c r="J47" s="108"/>
    </row>
    <row r="48" spans="1:11" x14ac:dyDescent="0.25">
      <c r="A48" s="213">
        <v>1.25</v>
      </c>
      <c r="B48" s="214">
        <f>'Irr Cotton'!$B$9*$A48</f>
        <v>1562.5</v>
      </c>
      <c r="C48" s="134">
        <f>'Irr Cotton'!$B$9*(1-'Irr Cotton'!$E$9)*$A48</f>
        <v>1046.8749999999998</v>
      </c>
      <c r="D48" s="134">
        <f>'Irr Cotton'!$B$9*'Irr Cotton'!$E$9*$A48</f>
        <v>515.625</v>
      </c>
      <c r="E48" s="217">
        <f>('Irr Cotton'!F$52-B48/500*'Universal Input Prices'!$B$39/2000*Cottonseed_Price+(B48-B$46)/100*'Irr Cotton'!$D$29+(B48-B$46)/'Irr Cotton'!$B$11/100*'Irr Cotton'!D$30)/B48</f>
        <v>0.30029248485909543</v>
      </c>
      <c r="F48" s="217">
        <f>('Irr Cotton'!G$52-C48/500*'Universal Input Prices'!$B$39/2000*Cottonseed_Price+(C48-C$46)/100*'Irr Cotton'!$D$29+(C48-C$46)/'Irr Cotton'!$B$11/100*'Irr Cotton'!$D$30)/C48</f>
        <v>0.39059517174804587</v>
      </c>
      <c r="G48" s="219">
        <f>('Irr Cotton'!F$66-B48/500*'Universal Input Prices'!$B$39/2000*Cottonseed_Price+(B48-B$46)/100*'Irr Cotton'!$D$29+(B48-B$46)/'Irr Cotton'!$B$11/100*'Irr Cotton'!$D$30)/B48</f>
        <v>0.39775808485909547</v>
      </c>
      <c r="H48" s="219">
        <f>('Irr Cotton'!G$66-C48/500*'Universal Input Prices'!$B$39/2000*Cottonseed_Price+(C48-C$46)/100*'Irr Cotton'!$D$29+(C48-C$46)/100*'Irr Cotton'!$B$11*'Irr Cotton'!$D$30)/C48</f>
        <v>0.44860536088264807</v>
      </c>
      <c r="I48" s="219">
        <f>IF($D48=0,"N/A",('Irr Cotton'!H$66-D48/500*'Universal Input Prices'!$B$39/2000*Cottonseed_Price+(D48-D$46)/100*'Irr Cotton'!$D$29+(D48-D$46)/100*'Irr Cotton'!$B$11*'Irr Cotton'!$D$30)/D48)</f>
        <v>0.23624331556440512</v>
      </c>
      <c r="J48" s="108"/>
    </row>
    <row r="49" spans="1:11" x14ac:dyDescent="0.25">
      <c r="A49" s="260"/>
      <c r="B49" s="41"/>
      <c r="C49" s="134"/>
      <c r="D49" s="134"/>
      <c r="E49" s="133"/>
      <c r="F49" s="132"/>
      <c r="G49" s="132"/>
      <c r="H49" s="132"/>
      <c r="I49" s="132"/>
      <c r="J49" s="108"/>
    </row>
    <row r="50" spans="1:11" x14ac:dyDescent="0.25">
      <c r="A50" s="325" t="str">
        <f>'Irr Peanuts'!A3:H3</f>
        <v>Irrigated Peanuts</v>
      </c>
      <c r="B50" s="325"/>
      <c r="C50" s="325"/>
      <c r="D50" s="325"/>
      <c r="E50" s="325"/>
      <c r="F50" s="325"/>
      <c r="G50" s="325"/>
      <c r="H50" s="325"/>
      <c r="I50" s="325"/>
    </row>
    <row r="51" spans="1:11" ht="28.5" customHeight="1" x14ac:dyDescent="0.25">
      <c r="A51" s="278"/>
      <c r="B51" s="278"/>
      <c r="C51" s="279"/>
      <c r="D51" s="279"/>
      <c r="E51" s="326" t="s">
        <v>220</v>
      </c>
      <c r="F51" s="327"/>
      <c r="G51" s="328" t="s">
        <v>221</v>
      </c>
      <c r="H51" s="329"/>
      <c r="I51" s="329"/>
    </row>
    <row r="52" spans="1:11" x14ac:dyDescent="0.25">
      <c r="A52" s="211" t="s">
        <v>153</v>
      </c>
      <c r="B52" s="212" t="s">
        <v>155</v>
      </c>
      <c r="C52" s="127"/>
      <c r="D52" s="127"/>
      <c r="E52" s="216" t="s">
        <v>56</v>
      </c>
      <c r="F52" s="216" t="s">
        <v>52</v>
      </c>
      <c r="G52" s="218" t="s">
        <v>56</v>
      </c>
      <c r="H52" s="218" t="s">
        <v>52</v>
      </c>
      <c r="I52" s="218" t="s">
        <v>53</v>
      </c>
    </row>
    <row r="53" spans="1:11" x14ac:dyDescent="0.25">
      <c r="A53" s="213">
        <v>0.75</v>
      </c>
      <c r="B53" s="214">
        <f>'Irr Peanuts'!$B$9*$A53</f>
        <v>1.6875</v>
      </c>
      <c r="C53" s="134">
        <f>'Irr Peanuts'!$B$9*(1-'Irr Peanuts'!$E$9)*$A53</f>
        <v>1.1306249999999998</v>
      </c>
      <c r="D53" s="134">
        <f>'Irr Peanuts'!$B$9*'Irr Peanuts'!$E$9*$A53</f>
        <v>0.55687500000000001</v>
      </c>
      <c r="E53" s="217">
        <f>('Irr Peanuts'!$F$51+($B53-$B$55)*(SUM('Irr Peanuts'!$D$27:$D$28)))/$B53</f>
        <v>417.78351879027127</v>
      </c>
      <c r="F53" s="217">
        <f>('Irr Peanuts'!$G$51+($C53-$C$55)*(SUM('Irr Peanuts'!$D$27:$D$28)))/$C53</f>
        <v>556.73064476533284</v>
      </c>
      <c r="G53" s="219">
        <f>('Irr Peanuts'!$F$65+($B53-$B$55)*(SUM('Irr Peanuts'!$D$27:$D$28)))/$B53</f>
        <v>541.13759286434527</v>
      </c>
      <c r="H53" s="219">
        <f>('Irr Peanuts'!$G$65+($C53-$C$55)*(SUM('Irr Peanuts'!$D$27:$D$28)))/$C53</f>
        <v>677.15961104504538</v>
      </c>
      <c r="I53" s="219">
        <f>IF($D53=0, "N/A", ('Irr Peanuts'!$H$65+($D53-$D$55)*(SUM('Irr Peanuts'!$D$27:$D$28)))/$D53)</f>
        <v>270.38514327038502</v>
      </c>
    </row>
    <row r="54" spans="1:11" x14ac:dyDescent="0.25">
      <c r="A54" s="213">
        <v>0.9</v>
      </c>
      <c r="B54" s="214">
        <f>'Irr Peanuts'!$B$9*$A54</f>
        <v>2.0249999999999999</v>
      </c>
      <c r="C54" s="134">
        <f>'Irr Peanuts'!$B$9*(1-'Irr Peanuts'!$E$9)*$A54</f>
        <v>1.3567499999999999</v>
      </c>
      <c r="D54" s="134">
        <f>'Irr Peanuts'!$B$9*'Irr Peanuts'!$E$9*$A54</f>
        <v>0.66825000000000001</v>
      </c>
      <c r="E54" s="217">
        <f>('Irr Peanuts'!$F$51+($B54-$B$55)*(SUM('Irr Peanuts'!$D$27:$D$28)))/$B54</f>
        <v>358.98626565855938</v>
      </c>
      <c r="F54" s="217">
        <f>('Irr Peanuts'!$G$51+($C54-$C$55)*(SUM('Irr Peanuts'!$D$27:$D$28)))/$C54</f>
        <v>474.77553730444396</v>
      </c>
      <c r="G54" s="219">
        <f>('Irr Peanuts'!$F$65+($B54-$B$55)*(SUM('Irr Peanuts'!$D$27:$D$28)))/$B54</f>
        <v>461.78132738695444</v>
      </c>
      <c r="H54" s="219">
        <f>('Irr Peanuts'!$G$65+($C54-$C$55)*(SUM('Irr Peanuts'!$D$27:$D$28)))/$C54</f>
        <v>575.13300920420443</v>
      </c>
      <c r="I54" s="219">
        <f>IF($D54=0, "N/A", ('Irr Peanuts'!$H$65+($D54-$D$55)*(SUM('Irr Peanuts'!$D$27:$D$28)))/$D54)</f>
        <v>236.15428605865418</v>
      </c>
    </row>
    <row r="55" spans="1:11" x14ac:dyDescent="0.25">
      <c r="A55" s="215">
        <v>1</v>
      </c>
      <c r="B55" s="214">
        <f>'Irr Peanuts'!$B$9*$A55</f>
        <v>2.25</v>
      </c>
      <c r="C55" s="134">
        <f>'Irr Peanuts'!$B$9*(1-'Irr Peanuts'!$E$9)*$A55</f>
        <v>1.5074999999999998</v>
      </c>
      <c r="D55" s="134">
        <f>'Irr Peanuts'!$B$9*'Irr Peanuts'!$E$9*$A55</f>
        <v>0.74250000000000005</v>
      </c>
      <c r="E55" s="217">
        <f>('Irr Peanuts'!$F$51+($B55-$B$55)*(SUM('Irr Peanuts'!$D$27:$D$28)))/$B55</f>
        <v>329.58763909270345</v>
      </c>
      <c r="F55" s="217">
        <f>('Irr Peanuts'!$G$51+($C55-$C$55)*(SUM('Irr Peanuts'!$D$27:$D$28)))/$C55</f>
        <v>433.7979835739996</v>
      </c>
      <c r="G55" s="219">
        <f>('Irr Peanuts'!$F$65+($B55-$B$55)*(SUM('Irr Peanuts'!$D$27:$D$28)))/$B55</f>
        <v>422.10319464825898</v>
      </c>
      <c r="H55" s="219">
        <f>('Irr Peanuts'!$G$65+($C55-$C$55)*(SUM('Irr Peanuts'!$D$27:$D$28)))/$C55</f>
        <v>524.11970828378401</v>
      </c>
      <c r="I55" s="219">
        <f>IF($D55=0, "N/A", ('Irr Peanuts'!$H$65+($D55-$D$55)*(SUM('Irr Peanuts'!$D$27:$D$28)))/$D55)</f>
        <v>219.03885745278876</v>
      </c>
    </row>
    <row r="56" spans="1:11" x14ac:dyDescent="0.25">
      <c r="A56" s="213">
        <v>1.1000000000000001</v>
      </c>
      <c r="B56" s="214">
        <f>'Irr Peanuts'!$B$9*$A56</f>
        <v>2.4750000000000001</v>
      </c>
      <c r="C56" s="134">
        <f>'Irr Peanuts'!$B$9*(1-'Irr Peanuts'!$E$9)*$A56</f>
        <v>1.65825</v>
      </c>
      <c r="D56" s="134">
        <f>'Irr Peanuts'!$B$9*'Irr Peanuts'!$E$9*$A56</f>
        <v>0.81675000000000009</v>
      </c>
      <c r="E56" s="217">
        <f>('Irr Peanuts'!$F$51+($B56-$B$55)*(SUM('Irr Peanuts'!$D$27:$D$28)))/$B56</f>
        <v>305.53421735700312</v>
      </c>
      <c r="F56" s="217">
        <f>('Irr Peanuts'!$G$51+($C56-$C$55)*(SUM('Irr Peanuts'!$D$27:$D$28)))/$C56</f>
        <v>400.27089415818148</v>
      </c>
      <c r="G56" s="219">
        <f>('Irr Peanuts'!$F$65+($B56-$B$55)*(SUM('Irr Peanuts'!$D$27:$D$28)))/$B56</f>
        <v>389.6392678620536</v>
      </c>
      <c r="H56" s="219">
        <f>('Irr Peanuts'!$G$65+($C56-$C$55)*(SUM('Irr Peanuts'!$D$27:$D$28)))/$C56</f>
        <v>482.38155298525817</v>
      </c>
      <c r="I56" s="219">
        <f>IF($D56=0, "N/A", ('Irr Peanuts'!$H$65+($D56-$D$55)*(SUM('Irr Peanuts'!$D$27:$D$28)))/$D56)</f>
        <v>205.03532495708072</v>
      </c>
    </row>
    <row r="57" spans="1:11" x14ac:dyDescent="0.25">
      <c r="A57" s="213">
        <v>1.25</v>
      </c>
      <c r="B57" s="214">
        <f>'Irr Peanuts'!$B$9*$A57</f>
        <v>2.8125</v>
      </c>
      <c r="C57" s="134">
        <f>'Irr Peanuts'!$B$9*(1-'Irr Peanuts'!$E$9)*$A57</f>
        <v>1.8843749999999999</v>
      </c>
      <c r="D57" s="134">
        <f>'Irr Peanuts'!$B$9*'Irr Peanuts'!$E$9*$A57</f>
        <v>0.92812500000000009</v>
      </c>
      <c r="E57" s="217">
        <f>('Irr Peanuts'!$F$51+($B57-$B$55)*(SUM('Irr Peanuts'!$D$27:$D$28)))/$B57</f>
        <v>276.67011127416276</v>
      </c>
      <c r="F57" s="217">
        <f>('Irr Peanuts'!$G$51+($C57-$C$55)*(SUM('Irr Peanuts'!$D$27:$D$28)))/$C57</f>
        <v>360.0383868591997</v>
      </c>
      <c r="G57" s="219">
        <f>('Irr Peanuts'!$F$65+($B57-$B$55)*(SUM('Irr Peanuts'!$D$27:$D$28)))/$B57</f>
        <v>350.6825557186072</v>
      </c>
      <c r="H57" s="219">
        <f>('Irr Peanuts'!$G$65+($C57-$C$55)*(SUM('Irr Peanuts'!$D$27:$D$28)))/$C57</f>
        <v>432.29576662702721</v>
      </c>
      <c r="I57" s="219">
        <f>IF($D57=0, "N/A", ('Irr Peanuts'!$H$65+($D57-$D$55)*(SUM('Irr Peanuts'!$D$27:$D$28)))/$D57)</f>
        <v>188.23108596223102</v>
      </c>
    </row>
    <row r="58" spans="1:11" x14ac:dyDescent="0.25">
      <c r="A58" s="4"/>
      <c r="B58" s="4"/>
      <c r="C58" s="126"/>
      <c r="D58" s="126"/>
      <c r="E58" s="131"/>
      <c r="F58" s="42"/>
      <c r="G58" s="42"/>
      <c r="H58" s="42"/>
      <c r="I58" s="42"/>
    </row>
    <row r="59" spans="1:11" x14ac:dyDescent="0.25">
      <c r="A59" s="325" t="str">
        <f>'Irr Sorghum'!A3:H3</f>
        <v>Irrigated Sorghum</v>
      </c>
      <c r="B59" s="325"/>
      <c r="C59" s="325"/>
      <c r="D59" s="325"/>
      <c r="E59" s="325"/>
      <c r="F59" s="325"/>
      <c r="G59" s="325"/>
      <c r="H59" s="325"/>
      <c r="I59" s="325"/>
    </row>
    <row r="60" spans="1:11" ht="28.5" customHeight="1" x14ac:dyDescent="0.25">
      <c r="A60" s="278"/>
      <c r="B60" s="278"/>
      <c r="C60" s="279"/>
      <c r="D60" s="279"/>
      <c r="E60" s="326" t="s">
        <v>220</v>
      </c>
      <c r="F60" s="327"/>
      <c r="G60" s="328" t="s">
        <v>221</v>
      </c>
      <c r="H60" s="329"/>
      <c r="I60" s="329"/>
    </row>
    <row r="61" spans="1:11" x14ac:dyDescent="0.25">
      <c r="A61" s="211" t="s">
        <v>153</v>
      </c>
      <c r="B61" s="212" t="s">
        <v>152</v>
      </c>
      <c r="C61" s="127"/>
      <c r="D61" s="127"/>
      <c r="E61" s="216" t="s">
        <v>56</v>
      </c>
      <c r="F61" s="216" t="s">
        <v>52</v>
      </c>
      <c r="G61" s="218" t="s">
        <v>56</v>
      </c>
      <c r="H61" s="218" t="s">
        <v>52</v>
      </c>
      <c r="I61" s="218" t="s">
        <v>53</v>
      </c>
      <c r="K61" s="111"/>
    </row>
    <row r="62" spans="1:11" x14ac:dyDescent="0.25">
      <c r="A62" s="213">
        <v>0.75</v>
      </c>
      <c r="B62" s="214">
        <f>'Irr Sorghum'!$B$9*$A62</f>
        <v>45</v>
      </c>
      <c r="C62" s="134">
        <f>'Irr Sorghum'!$B$9*(1-'Irr Sorghum'!$E$9)*$A62</f>
        <v>30.15</v>
      </c>
      <c r="D62" s="134">
        <f>'Irr Sorghum'!$B$9*'Irr Sorghum'!$E$9*$A62</f>
        <v>14.850000000000001</v>
      </c>
      <c r="E62" s="217">
        <f>('Irr Sorghum'!$F$46-'Irr Sorghum'!$F$10+($B62-$B$64)*'Irr Sorghum'!$D$24)/$B62</f>
        <v>7.2240226190188723</v>
      </c>
      <c r="F62" s="217">
        <f>('Irr Sorghum'!$G$46-'Irr Sorghum'!$F$10+($C62-$C$64)*'Irr Sorghum'!$D$24)/$C62</f>
        <v>8.8674086130779131</v>
      </c>
      <c r="G62" s="219">
        <f>('Irr Sorghum'!$F$60-'Irr Sorghum'!$F$10+($B62-$B$64)*'Irr Sorghum'!$D$24)/$B62</f>
        <v>11.216689285685542</v>
      </c>
      <c r="H62" s="219">
        <f>('Irr Sorghum'!$G$60-'Irr Sorghum'!$F$10+($C62-$C$64)*'Irr Sorghum'!$D$24)/$C62</f>
        <v>12.438552891684878</v>
      </c>
      <c r="I62" s="219">
        <f>IF($D62=0, "N/A", ('Irr Sorghum'!$H$60-'Irr Sorghum'!$F$10+($D62-$D$64)*'Irr Sorghum'!$D$24)/$D62)</f>
        <v>8.8380327991792917</v>
      </c>
    </row>
    <row r="63" spans="1:11" x14ac:dyDescent="0.25">
      <c r="A63" s="213">
        <v>0.9</v>
      </c>
      <c r="B63" s="214">
        <f>'Irr Sorghum'!$B$9*$A63</f>
        <v>54</v>
      </c>
      <c r="C63" s="134">
        <f>'Irr Sorghum'!$B$9*(1-'Irr Sorghum'!$E$9)*$A63</f>
        <v>36.18</v>
      </c>
      <c r="D63" s="134">
        <f>'Irr Sorghum'!$B$9*'Irr Sorghum'!$E$9*$A63</f>
        <v>17.82</v>
      </c>
      <c r="E63" s="217">
        <f>('Irr Sorghum'!$F$46-'Irr Sorghum'!$F$10+($B63-$B$64)*'Irr Sorghum'!$D$24)/$B63</f>
        <v>6.1616855158490598</v>
      </c>
      <c r="F63" s="217">
        <f>('Irr Sorghum'!$G$46-'Irr Sorghum'!$F$10+($C63-$C$64)*'Irr Sorghum'!$D$24)/$C63</f>
        <v>7.5311738442315947</v>
      </c>
      <c r="G63" s="219">
        <f>('Irr Sorghum'!$F$60-'Irr Sorghum'!$F$10+($B63-$B$64)*'Irr Sorghum'!$D$24)/$B63</f>
        <v>9.4889077380712834</v>
      </c>
      <c r="H63" s="219">
        <f>('Irr Sorghum'!$G$60-'Irr Sorghum'!$F$10+($C63-$C$64)*'Irr Sorghum'!$D$24)/$C63</f>
        <v>10.5071274097374</v>
      </c>
      <c r="I63" s="219">
        <f>IF($D63=0, "N/A", ('Irr Sorghum'!$H$60-'Irr Sorghum'!$F$10+($D63-$D$64)*'Irr Sorghum'!$D$24)/$D63)</f>
        <v>7.5066939993160782</v>
      </c>
    </row>
    <row r="64" spans="1:11" x14ac:dyDescent="0.25">
      <c r="A64" s="215">
        <v>1</v>
      </c>
      <c r="B64" s="214">
        <f>'Irr Sorghum'!$B$9*$A64</f>
        <v>60</v>
      </c>
      <c r="C64" s="134">
        <f>'Irr Sorghum'!$B$9*(1-'Irr Sorghum'!$E$9)*$A64</f>
        <v>40.199999999999996</v>
      </c>
      <c r="D64" s="134">
        <f>'Irr Sorghum'!$B$9*'Irr Sorghum'!$E$9*$A64</f>
        <v>19.8</v>
      </c>
      <c r="E64" s="217">
        <f>('Irr Sorghum'!$F$46-'Irr Sorghum'!$F$10+($B64-$B$64)*'Irr Sorghum'!$D$24)/$B64</f>
        <v>5.6305169642641548</v>
      </c>
      <c r="F64" s="217">
        <f>('Irr Sorghum'!$G$46-'Irr Sorghum'!$F$10+($C64-$C$64)*'Irr Sorghum'!$D$24)/$C64</f>
        <v>6.8630564598084352</v>
      </c>
      <c r="G64" s="219">
        <f>('Irr Sorghum'!$F$60-'Irr Sorghum'!$F$10+($B64-$B$64)*'Irr Sorghum'!$D$24)/$B64</f>
        <v>8.6250169642641552</v>
      </c>
      <c r="H64" s="219">
        <f>('Irr Sorghum'!$G$60-'Irr Sorghum'!$F$10+($C64-$C$64)*'Irr Sorghum'!$D$24)/$C64</f>
        <v>9.5414146687636592</v>
      </c>
      <c r="I64" s="219">
        <f>IF($D64=0, "N/A", ('Irr Sorghum'!$H$60-'Irr Sorghum'!$F$10+($D64-$D$64)*'Irr Sorghum'!$D$24)/$D64)</f>
        <v>6.8410245993844701</v>
      </c>
    </row>
    <row r="65" spans="1:9" x14ac:dyDescent="0.25">
      <c r="A65" s="213">
        <v>1.1000000000000001</v>
      </c>
      <c r="B65" s="214">
        <f>'Irr Sorghum'!$B$9*$A65</f>
        <v>66</v>
      </c>
      <c r="C65" s="134">
        <f>'Irr Sorghum'!$B$9*(1-'Irr Sorghum'!$E$9)*$A65</f>
        <v>44.22</v>
      </c>
      <c r="D65" s="134">
        <f>'Irr Sorghum'!$B$9*'Irr Sorghum'!$E$9*$A65</f>
        <v>21.78</v>
      </c>
      <c r="E65" s="217">
        <f>('Irr Sorghum'!$F$46-'Irr Sorghum'!$F$10+($B65-$B$64)*'Irr Sorghum'!$D$24)/$B65</f>
        <v>5.1959245129674132</v>
      </c>
      <c r="F65" s="217">
        <f>('Irr Sorghum'!$G$46-'Irr Sorghum'!$F$10+($C65-$C$64)*'Irr Sorghum'!$D$24)/$C65</f>
        <v>6.316414963462214</v>
      </c>
      <c r="G65" s="219">
        <f>('Irr Sorghum'!$F$60-'Irr Sorghum'!$F$10+($B65-$B$64)*'Irr Sorghum'!$D$24)/$B65</f>
        <v>7.9181972402401417</v>
      </c>
      <c r="H65" s="219">
        <f>('Irr Sorghum'!$G$60-'Irr Sorghum'!$F$10+($C65-$C$64)*'Irr Sorghum'!$D$24)/$C65</f>
        <v>8.7512860625124187</v>
      </c>
      <c r="I65" s="219">
        <f>IF($D65=0, "N/A", ('Irr Sorghum'!$H$60-'Irr Sorghum'!$F$10+($D65-$D$64)*'Irr Sorghum'!$D$24)/$D65)</f>
        <v>6.2963859994404263</v>
      </c>
    </row>
    <row r="66" spans="1:9" x14ac:dyDescent="0.25">
      <c r="A66" s="213">
        <v>1.25</v>
      </c>
      <c r="B66" s="214">
        <f>'Irr Sorghum'!$B$9*$A66</f>
        <v>75</v>
      </c>
      <c r="C66" s="134">
        <f>'Irr Sorghum'!$B$9*(1-'Irr Sorghum'!$E$9)*$A66</f>
        <v>50.249999999999993</v>
      </c>
      <c r="D66" s="134">
        <f>'Irr Sorghum'!$B$9*'Irr Sorghum'!$E$9*$A66</f>
        <v>24.75</v>
      </c>
      <c r="E66" s="217">
        <f>('Irr Sorghum'!$F$46-'Irr Sorghum'!$F$10+($B66-$B$64)*'Irr Sorghum'!$D$24)/$B66</f>
        <v>4.674413571411324</v>
      </c>
      <c r="F66" s="217">
        <f>('Irr Sorghum'!$G$46-'Irr Sorghum'!$F$10+($C66-$C$64)*'Irr Sorghum'!$D$24)/$C66</f>
        <v>5.6604451678467491</v>
      </c>
      <c r="G66" s="219">
        <f>('Irr Sorghum'!$F$60-'Irr Sorghum'!$F$10+($B66-$B$64)*'Irr Sorghum'!$D$24)/$B66</f>
        <v>7.0700135714113248</v>
      </c>
      <c r="H66" s="219">
        <f>('Irr Sorghum'!$G$60-'Irr Sorghum'!$F$10+($C66-$C$64)*'Irr Sorghum'!$D$24)/$C66</f>
        <v>7.8031317350109282</v>
      </c>
      <c r="I66" s="219">
        <f>IF($D66=0, "N/A", ('Irr Sorghum'!$H$60-'Irr Sorghum'!$F$10+($D66-$D$64)*'Irr Sorghum'!$D$24)/$D66)</f>
        <v>5.6428196795075767</v>
      </c>
    </row>
    <row r="68" spans="1:9" x14ac:dyDescent="0.25">
      <c r="A68" s="325" t="str">
        <f>'Irr Sorghum Seed'!A3:H3</f>
        <v xml:space="preserve">Irrigated Sorghum Seed </v>
      </c>
      <c r="B68" s="325"/>
      <c r="C68" s="325"/>
      <c r="D68" s="325"/>
      <c r="E68" s="325"/>
      <c r="F68" s="325"/>
      <c r="G68" s="325"/>
      <c r="H68" s="325"/>
      <c r="I68" s="325"/>
    </row>
    <row r="69" spans="1:9" ht="28.5" customHeight="1" x14ac:dyDescent="0.25">
      <c r="A69" s="278"/>
      <c r="B69" s="278"/>
      <c r="C69" s="279"/>
      <c r="D69" s="279"/>
      <c r="E69" s="326" t="s">
        <v>220</v>
      </c>
      <c r="F69" s="327"/>
      <c r="G69" s="328" t="s">
        <v>221</v>
      </c>
      <c r="H69" s="329"/>
      <c r="I69" s="329"/>
    </row>
    <row r="70" spans="1:9" x14ac:dyDescent="0.25">
      <c r="A70" s="211" t="s">
        <v>153</v>
      </c>
      <c r="B70" s="212" t="s">
        <v>152</v>
      </c>
      <c r="C70" s="127"/>
      <c r="D70" s="127"/>
      <c r="E70" s="216" t="s">
        <v>56</v>
      </c>
      <c r="F70" s="216" t="s">
        <v>52</v>
      </c>
      <c r="G70" s="218" t="s">
        <v>56</v>
      </c>
      <c r="H70" s="218" t="s">
        <v>52</v>
      </c>
      <c r="I70" s="218" t="s">
        <v>53</v>
      </c>
    </row>
    <row r="71" spans="1:9" x14ac:dyDescent="0.25">
      <c r="A71" s="213">
        <v>0.75</v>
      </c>
      <c r="B71" s="214">
        <f>'Irr Sorghum Seed'!$B$9*$A71</f>
        <v>33.75</v>
      </c>
      <c r="C71" s="134">
        <f>'Irr Sorghum Seed'!$B$9*(1-'Irr Sorghum Seed'!$E$9)*$A71</f>
        <v>22.612499999999997</v>
      </c>
      <c r="D71" s="134">
        <f>'Irr Sorghum Seed'!$B$9*'Irr Sorghum Seed'!$E$9*$A71</f>
        <v>11.137500000000001</v>
      </c>
      <c r="E71" s="217">
        <f>('Irr Sorghum Seed'!$F$46-'Irr Sorghum'!$F$10+($B71-$B$73)*'Irr Sorghum Seed'!$D$24)/$B71</f>
        <v>10.893444822153846</v>
      </c>
      <c r="F71" s="217">
        <f>('Irr Sorghum Seed'!$G$46-'Irr Sorghum'!$F$10+($C71-$C$73)*'Irr Sorghum Seed'!$D$24)/$C71</f>
        <v>13.191195676318408</v>
      </c>
      <c r="G71" s="219">
        <f>('Irr Sorghum Seed'!$F$60-'Irr Sorghum'!$F$10+($B71-$B$73)*'Irr Sorghum Seed'!$D$24)/$B71</f>
        <v>15.927222599931625</v>
      </c>
      <c r="H71" s="219">
        <f>('Irr Sorghum Seed'!$G$60-'Irr Sorghum'!$F$10+($C71-$C$73)*'Irr Sorghum Seed'!$D$24)/$C71</f>
        <v>17.520217235190714</v>
      </c>
      <c r="I71" s="219">
        <f>IF($D71=0, "N/A", ('Irr Sorghum Seed'!$H$60-'Irr Sorghum'!$F$10+($D71-$D$73)*'Irr Sorghum Seed'!$D$24)/$D71)</f>
        <v>12.878733875757577</v>
      </c>
    </row>
    <row r="72" spans="1:9" x14ac:dyDescent="0.25">
      <c r="A72" s="213">
        <v>0.9</v>
      </c>
      <c r="B72" s="214">
        <f>'Irr Sorghum Seed'!$B$9*$A72</f>
        <v>40.5</v>
      </c>
      <c r="C72" s="134">
        <f>'Irr Sorghum Seed'!$B$9*(1-'Irr Sorghum Seed'!$E$9)*$A72</f>
        <v>27.134999999999998</v>
      </c>
      <c r="D72" s="134">
        <f>'Irr Sorghum Seed'!$B$9*'Irr Sorghum Seed'!$E$9*$A72</f>
        <v>13.365000000000002</v>
      </c>
      <c r="E72" s="217">
        <f>('Irr Sorghum Seed'!$F$46-'Irr Sorghum'!$F$10+($B72-$B$73)*'Irr Sorghum Seed'!$D$24)/$B72</f>
        <v>9.2195373517948731</v>
      </c>
      <c r="F72" s="217">
        <f>('Irr Sorghum Seed'!$G$46-'Irr Sorghum'!$F$10+($C72-$C$73)*'Irr Sorghum Seed'!$D$24)/$C72</f>
        <v>11.134329730265339</v>
      </c>
      <c r="G72" s="219">
        <f>('Irr Sorghum Seed'!$F$60-'Irr Sorghum'!$F$10+($B72-$B$73)*'Irr Sorghum Seed'!$D$24)/$B72</f>
        <v>13.414352166609685</v>
      </c>
      <c r="H72" s="219">
        <f>('Irr Sorghum Seed'!$G$60-'Irr Sorghum'!$F$10+($C72-$C$73)*'Irr Sorghum Seed'!$D$24)/$C72</f>
        <v>14.741847695992259</v>
      </c>
      <c r="I72" s="219">
        <f>IF($D72=0, "N/A", ('Irr Sorghum Seed'!$H$60-'Irr Sorghum'!$F$10+($D72-$D$73)*'Irr Sorghum Seed'!$D$24)/$D72)</f>
        <v>10.873944896464646</v>
      </c>
    </row>
    <row r="73" spans="1:9" x14ac:dyDescent="0.25">
      <c r="A73" s="215">
        <v>1</v>
      </c>
      <c r="B73" s="214">
        <f>'Irr Sorghum Seed'!$B$9*$A73</f>
        <v>45</v>
      </c>
      <c r="C73" s="134">
        <f>'Irr Sorghum Seed'!$B$9*(1-'Irr Sorghum Seed'!$E$9)*$A73</f>
        <v>30.15</v>
      </c>
      <c r="D73" s="134">
        <f>'Irr Sorghum Seed'!$B$9*'Irr Sorghum Seed'!$E$9*$A73</f>
        <v>14.850000000000001</v>
      </c>
      <c r="E73" s="217">
        <f>('Irr Sorghum Seed'!$F$46-'Irr Sorghum'!$F$10+($B73-$B$73)*'Irr Sorghum Seed'!$D$24)/$B73</f>
        <v>8.3825836166153849</v>
      </c>
      <c r="F73" s="217">
        <f>('Irr Sorghum Seed'!$G$46-'Irr Sorghum'!$F$10+($C73-$C$73)*'Irr Sorghum Seed'!$D$24)/$C73</f>
        <v>10.105896757238805</v>
      </c>
      <c r="G73" s="219">
        <f>('Irr Sorghum Seed'!$F$60-'Irr Sorghum'!$F$10+($B73-$B$73)*'Irr Sorghum Seed'!$D$24)/$B73</f>
        <v>12.157916949948717</v>
      </c>
      <c r="H73" s="219">
        <f>('Irr Sorghum Seed'!$G$60-'Irr Sorghum'!$F$10+($C73-$C$73)*'Irr Sorghum Seed'!$D$24)/$C73</f>
        <v>13.352662926393034</v>
      </c>
      <c r="I73" s="219">
        <f>IF($D73=0, "N/A", ('Irr Sorghum Seed'!$H$60-'Irr Sorghum'!$F$10+($D73-$D$73)*'Irr Sorghum Seed'!$D$24)/$D73)</f>
        <v>9.8715504068181819</v>
      </c>
    </row>
    <row r="74" spans="1:9" x14ac:dyDescent="0.25">
      <c r="A74" s="213">
        <v>1.1000000000000001</v>
      </c>
      <c r="B74" s="214">
        <f>'Irr Sorghum Seed'!$B$9*$A74</f>
        <v>49.500000000000007</v>
      </c>
      <c r="C74" s="134">
        <f>'Irr Sorghum Seed'!$B$9*(1-'Irr Sorghum Seed'!$E$9)*$A74</f>
        <v>33.164999999999999</v>
      </c>
      <c r="D74" s="134">
        <f>'Irr Sorghum Seed'!$B$9*'Irr Sorghum Seed'!$E$9*$A74</f>
        <v>16.335000000000004</v>
      </c>
      <c r="E74" s="217">
        <f>('Irr Sorghum Seed'!$F$46-'Irr Sorghum'!$F$10+($B74-$B$73)*'Irr Sorghum Seed'!$D$24)/$B74</f>
        <v>7.6978032878321665</v>
      </c>
      <c r="F74" s="217">
        <f>('Irr Sorghum Seed'!$G$46-'Irr Sorghum'!$F$10+($C74-$C$73)*'Irr Sorghum Seed'!$D$24)/$C74</f>
        <v>9.2644515974898223</v>
      </c>
      <c r="G74" s="219">
        <f>('Irr Sorghum Seed'!$F$60-'Irr Sorghum'!$F$10+($B74-$B$73)*'Irr Sorghum Seed'!$D$24)/$B74</f>
        <v>11.129924499953379</v>
      </c>
      <c r="H74" s="219">
        <f>('Irr Sorghum Seed'!$G$60-'Irr Sorghum'!$F$10+($C74-$C$73)*'Irr Sorghum Seed'!$D$24)/$C74</f>
        <v>12.216057205811849</v>
      </c>
      <c r="I74" s="219">
        <f>IF($D74=0, "N/A", ('Irr Sorghum Seed'!$H$60-'Irr Sorghum'!$F$10+($D74-$D$73)*'Irr Sorghum Seed'!$D$24)/$D74)</f>
        <v>9.0514094607438</v>
      </c>
    </row>
    <row r="75" spans="1:9" x14ac:dyDescent="0.25">
      <c r="A75" s="213">
        <v>1.25</v>
      </c>
      <c r="B75" s="214">
        <f>'Irr Sorghum Seed'!$B$9*$A75</f>
        <v>56.25</v>
      </c>
      <c r="C75" s="134">
        <f>'Irr Sorghum Seed'!$B$9*(1-'Irr Sorghum Seed'!$E$9)*$A75</f>
        <v>37.6875</v>
      </c>
      <c r="D75" s="134">
        <f>'Irr Sorghum Seed'!$B$9*'Irr Sorghum Seed'!$E$9*$A75</f>
        <v>18.5625</v>
      </c>
      <c r="E75" s="217">
        <f>('Irr Sorghum Seed'!$F$46-'Irr Sorghum'!$F$10+($B75-$B$73)*'Irr Sorghum Seed'!$D$24)/$B75</f>
        <v>6.8760668932923084</v>
      </c>
      <c r="F75" s="217">
        <f>('Irr Sorghum Seed'!$G$46-'Irr Sorghum'!$F$10+($C75-$C$73)*'Irr Sorghum Seed'!$D$24)/$C75</f>
        <v>8.2547174057910446</v>
      </c>
      <c r="G75" s="219">
        <f>('Irr Sorghum Seed'!$F$60-'Irr Sorghum'!$F$10+($B75-$B$73)*'Irr Sorghum Seed'!$D$24)/$B75</f>
        <v>9.8963335599589737</v>
      </c>
      <c r="H75" s="219">
        <f>('Irr Sorghum Seed'!$G$60-'Irr Sorghum'!$F$10+($C75-$C$73)*'Irr Sorghum Seed'!$D$24)/$C75</f>
        <v>10.852130341114426</v>
      </c>
      <c r="I75" s="219">
        <f>IF($D75=0, "N/A", ('Irr Sorghum Seed'!$H$60-'Irr Sorghum'!$F$10+($D75-$D$73)*'Irr Sorghum Seed'!$D$24)/$D75)</f>
        <v>8.0672403254545451</v>
      </c>
    </row>
    <row r="76" spans="1:9" x14ac:dyDescent="0.25">
      <c r="A76" s="110"/>
      <c r="B76" s="110"/>
    </row>
    <row r="77" spans="1:9" x14ac:dyDescent="0.25">
      <c r="A77" s="325" t="str">
        <f>'Irr Sorghum Silage'!A3:H3</f>
        <v>Irrigated Sorghum Silage</v>
      </c>
      <c r="B77" s="325"/>
      <c r="C77" s="325"/>
      <c r="D77" s="325"/>
      <c r="E77" s="325"/>
      <c r="F77" s="325"/>
      <c r="G77" s="325"/>
      <c r="H77" s="325"/>
      <c r="I77" s="325"/>
    </row>
    <row r="78" spans="1:9" ht="28.5" customHeight="1" x14ac:dyDescent="0.25">
      <c r="A78" s="278"/>
      <c r="B78" s="278"/>
      <c r="C78" s="279"/>
      <c r="D78" s="279"/>
      <c r="E78" s="326" t="s">
        <v>220</v>
      </c>
      <c r="F78" s="327"/>
      <c r="G78" s="328" t="s">
        <v>221</v>
      </c>
      <c r="H78" s="329"/>
      <c r="I78" s="329"/>
    </row>
    <row r="79" spans="1:9" x14ac:dyDescent="0.25">
      <c r="A79" s="211" t="s">
        <v>153</v>
      </c>
      <c r="B79" s="292" t="s">
        <v>155</v>
      </c>
      <c r="C79" s="127"/>
      <c r="D79" s="127"/>
      <c r="E79" s="216" t="s">
        <v>56</v>
      </c>
      <c r="F79" s="216" t="s">
        <v>52</v>
      </c>
      <c r="G79" s="218" t="s">
        <v>56</v>
      </c>
      <c r="H79" s="218" t="s">
        <v>52</v>
      </c>
      <c r="I79" s="218" t="s">
        <v>53</v>
      </c>
    </row>
    <row r="80" spans="1:9" x14ac:dyDescent="0.25">
      <c r="A80" s="213">
        <v>0.75</v>
      </c>
      <c r="B80" s="214">
        <f>'Irr Sorghum Silage'!$B$9*$A80</f>
        <v>15.75</v>
      </c>
      <c r="C80" s="134">
        <f>'Irr Sorghum Silage'!$B$9*(1-'Irr Sorghum Silage'!$E$9)*$A80</f>
        <v>10.552499999999998</v>
      </c>
      <c r="D80" s="134">
        <f>'Irr Sorghum Silage'!$B$9*'Irr Sorghum Silage'!$E$9*$A80</f>
        <v>5.1975000000000007</v>
      </c>
      <c r="E80" s="217">
        <f>('Irr Sorghum Silage'!F$46+(B80-B$82)*('Irr Sorghum Silage'!$D$24))/B80</f>
        <v>29.222351848492988</v>
      </c>
      <c r="F80" s="217">
        <f>('Irr Sorghum Silage'!G$46+(C80-C$82)*('Irr Sorghum Silage'!$D$24))/C80</f>
        <v>38.821238005525174</v>
      </c>
      <c r="G80" s="219">
        <f>('Irr Sorghum Silage'!F$60+(B80-B$82)*('Irr Sorghum Silage'!$D$24))/B80</f>
        <v>39.800129626270767</v>
      </c>
      <c r="H80" s="219">
        <f>('Irr Sorghum Silage'!G$60+(C80-C$82)*('Irr Sorghum Silage'!$D$24))/C80</f>
        <v>47.785938313509057</v>
      </c>
      <c r="I80" s="219">
        <f>IF($D80=0,"N/A",('Irr Sorghum Silage'!H$60+(D80-D$82)*('Irr Sorghum Silage'!$D$24))/D80)</f>
        <v>23.856209338528139</v>
      </c>
    </row>
    <row r="81" spans="1:9" x14ac:dyDescent="0.25">
      <c r="A81" s="213">
        <v>0.9</v>
      </c>
      <c r="B81" s="214">
        <f>'Irr Sorghum Silage'!$B$9*$A81</f>
        <v>18.900000000000002</v>
      </c>
      <c r="C81" s="134">
        <f>'Irr Sorghum Silage'!$B$9*(1-'Irr Sorghum Silage'!$E$9)*$A81</f>
        <v>12.662999999999998</v>
      </c>
      <c r="D81" s="134">
        <f>'Irr Sorghum Silage'!$B$9*'Irr Sorghum Silage'!$E$9*$A81</f>
        <v>6.237000000000001</v>
      </c>
      <c r="E81" s="217">
        <f>('Irr Sorghum Silage'!F$46+(B81-B$82)*('Irr Sorghum Silage'!$D$24))/B81</f>
        <v>25.851959873744153</v>
      </c>
      <c r="F81" s="217">
        <f>('Irr Sorghum Silage'!G$46+(C81-C$82)*('Irr Sorghum Silage'!$D$24))/C81</f>
        <v>33.851031671270974</v>
      </c>
      <c r="G81" s="219">
        <f>('Irr Sorghum Silage'!F$60+(B81-B$82)*('Irr Sorghum Silage'!$D$24))/B81</f>
        <v>34.666774688558966</v>
      </c>
      <c r="H81" s="219">
        <f>('Irr Sorghum Silage'!G$60+(C81-C$82)*('Irr Sorghum Silage'!$D$24))/C81</f>
        <v>41.321615261257548</v>
      </c>
      <c r="I81" s="219">
        <f>IF($D81=0,"N/A",('Irr Sorghum Silage'!H$60+(D81-D$82)*('Irr Sorghum Silage'!$D$24))/D81)</f>
        <v>21.380174448773449</v>
      </c>
    </row>
    <row r="82" spans="1:9" x14ac:dyDescent="0.25">
      <c r="A82" s="215">
        <v>1</v>
      </c>
      <c r="B82" s="214">
        <f>'Irr Sorghum Silage'!$B$9*$A82</f>
        <v>21</v>
      </c>
      <c r="C82" s="134">
        <f>'Irr Sorghum Silage'!$B$9*(1-'Irr Sorghum Silage'!$E$9)*$A82</f>
        <v>14.069999999999999</v>
      </c>
      <c r="D82" s="134">
        <f>'Irr Sorghum Silage'!$B$9*'Irr Sorghum Silage'!$E$9*$A82</f>
        <v>6.9300000000000006</v>
      </c>
      <c r="E82" s="217">
        <f>('Irr Sorghum Silage'!F$46+(B82-B$82)*('Irr Sorghum Silage'!$D$24))/B82</f>
        <v>24.16676388636974</v>
      </c>
      <c r="F82" s="217">
        <f>('Irr Sorghum Silage'!G$46+(C82-C$82)*('Irr Sorghum Silage'!$D$24))/C82</f>
        <v>31.365928504143877</v>
      </c>
      <c r="G82" s="219">
        <f>('Irr Sorghum Silage'!F$60+(B82-B$82)*('Irr Sorghum Silage'!$D$24))/B82</f>
        <v>32.100097219703073</v>
      </c>
      <c r="H82" s="219">
        <f>('Irr Sorghum Silage'!G$60+(C82-C$82)*('Irr Sorghum Silage'!$D$24))/C82</f>
        <v>38.089453735131791</v>
      </c>
      <c r="I82" s="219">
        <f>IF($D82=0,"N/A",('Irr Sorghum Silage'!H$60+(D82-D$82)*('Irr Sorghum Silage'!$D$24))/D82)</f>
        <v>20.142157003896102</v>
      </c>
    </row>
    <row r="83" spans="1:9" x14ac:dyDescent="0.25">
      <c r="A83" s="213">
        <v>1.1000000000000001</v>
      </c>
      <c r="B83" s="214">
        <f>'Irr Sorghum Silage'!$B$9*$A83</f>
        <v>23.1</v>
      </c>
      <c r="C83" s="134">
        <f>'Irr Sorghum Silage'!$B$9*(1-'Irr Sorghum Silage'!$E$9)*$A83</f>
        <v>15.477</v>
      </c>
      <c r="D83" s="134">
        <f>'Irr Sorghum Silage'!$B$9*'Irr Sorghum Silage'!$E$9*$A83</f>
        <v>7.6230000000000011</v>
      </c>
      <c r="E83" s="217">
        <f>('Irr Sorghum Silage'!F$46+(B83-B$82)*('Irr Sorghum Silage'!$D$24))/B83</f>
        <v>22.787967169427038</v>
      </c>
      <c r="F83" s="217">
        <f>('Irr Sorghum Silage'!G$46+(C83-C$82)*('Irr Sorghum Silage'!$D$24))/C83</f>
        <v>29.332662276494432</v>
      </c>
      <c r="G83" s="219">
        <f>('Irr Sorghum Silage'!F$60+(B83-B$82)*('Irr Sorghum Silage'!$D$24))/B83</f>
        <v>30.000088381548245</v>
      </c>
      <c r="H83" s="219">
        <f>('Irr Sorghum Silage'!G$60+(C83-C$82)*('Irr Sorghum Silage'!$D$24))/C83</f>
        <v>35.444957941028903</v>
      </c>
      <c r="I83" s="219">
        <f>IF($D83=0,"N/A",('Irr Sorghum Silage'!H$60+(D83-D$82)*('Irr Sorghum Silage'!$D$24))/D83)</f>
        <v>19.129233639905546</v>
      </c>
    </row>
    <row r="84" spans="1:9" x14ac:dyDescent="0.25">
      <c r="A84" s="213">
        <v>1.25</v>
      </c>
      <c r="B84" s="214">
        <f>'Irr Sorghum Silage'!$B$9*$A84</f>
        <v>26.25</v>
      </c>
      <c r="C84" s="134">
        <f>'Irr Sorghum Silage'!$B$9*(1-'Irr Sorghum Silage'!$E$9)*$A84</f>
        <v>17.587499999999999</v>
      </c>
      <c r="D84" s="134">
        <f>'Irr Sorghum Silage'!$B$9*'Irr Sorghum Silage'!$E$9*$A84</f>
        <v>8.6625000000000014</v>
      </c>
      <c r="E84" s="217">
        <f>('Irr Sorghum Silage'!F$46+(B84-B$82)*('Irr Sorghum Silage'!$D$24))/B84</f>
        <v>21.133411109095789</v>
      </c>
      <c r="F84" s="217">
        <f>('Irr Sorghum Silage'!G$46+(C84-C$82)*('Irr Sorghum Silage'!$D$24))/C84</f>
        <v>26.892742803315102</v>
      </c>
      <c r="G84" s="219">
        <f>('Irr Sorghum Silage'!F$60+(B84-B$82)*('Irr Sorghum Silage'!$D$24))/B84</f>
        <v>27.480077775762457</v>
      </c>
      <c r="H84" s="219">
        <f>('Irr Sorghum Silage'!G$60+(C84-C$82)*('Irr Sorghum Silage'!$D$24))/C84</f>
        <v>32.271562988105437</v>
      </c>
      <c r="I84" s="219">
        <f>IF($D84=0,"N/A",('Irr Sorghum Silage'!H$60+(D84-D$82)*('Irr Sorghum Silage'!$D$24))/D84)</f>
        <v>17.91372560311688</v>
      </c>
    </row>
    <row r="85" spans="1:9" x14ac:dyDescent="0.25">
      <c r="A85" s="110"/>
      <c r="B85" s="110"/>
    </row>
    <row r="86" spans="1:9" x14ac:dyDescent="0.25">
      <c r="A86" s="325" t="str">
        <f>'Irr Sorghum Sudangrass'!A3:H3</f>
        <v>Irrigated Sorghum Sudangrass</v>
      </c>
      <c r="B86" s="325"/>
      <c r="C86" s="325"/>
      <c r="D86" s="325"/>
      <c r="E86" s="325"/>
      <c r="F86" s="325"/>
      <c r="G86" s="325"/>
      <c r="H86" s="325"/>
      <c r="I86" s="325"/>
    </row>
    <row r="87" spans="1:9" ht="28.5" customHeight="1" x14ac:dyDescent="0.25">
      <c r="A87" s="278"/>
      <c r="B87" s="278"/>
      <c r="C87" s="279"/>
      <c r="D87" s="279"/>
      <c r="E87" s="326" t="s">
        <v>220</v>
      </c>
      <c r="F87" s="327"/>
      <c r="G87" s="328" t="s">
        <v>221</v>
      </c>
      <c r="H87" s="329"/>
      <c r="I87" s="329"/>
    </row>
    <row r="88" spans="1:9" x14ac:dyDescent="0.25">
      <c r="A88" s="211" t="s">
        <v>153</v>
      </c>
      <c r="B88" s="292" t="s">
        <v>252</v>
      </c>
      <c r="C88" s="127"/>
      <c r="D88" s="127"/>
      <c r="E88" s="216" t="s">
        <v>56</v>
      </c>
      <c r="F88" s="216" t="s">
        <v>52</v>
      </c>
      <c r="G88" s="218" t="s">
        <v>56</v>
      </c>
      <c r="H88" s="218" t="s">
        <v>52</v>
      </c>
      <c r="I88" s="218" t="s">
        <v>53</v>
      </c>
    </row>
    <row r="89" spans="1:9" x14ac:dyDescent="0.25">
      <c r="A89" s="213">
        <v>0.75</v>
      </c>
      <c r="B89" s="214">
        <f>'Irr Sorghum Sudangrass'!$B$9*$A89</f>
        <v>600</v>
      </c>
      <c r="C89" s="134">
        <f>'Irr Sorghum Sudangrass'!$B$9*(1-'Irr Sorghum Sudangrass'!$E$9)*$A89</f>
        <v>402</v>
      </c>
      <c r="D89" s="134">
        <f>'Irr Sorghum Sudangrass'!$B$9*'Irr Sorghum Sudangrass'!$E$9*$A89</f>
        <v>198</v>
      </c>
      <c r="E89" s="217">
        <f>('Irr Sorghum Sudangrass'!F$46+(B89-B$91)*('Irr Sorghum Sudangrass'!$D$24))/B89</f>
        <v>0.42363000639063153</v>
      </c>
      <c r="F89" s="217">
        <f>('Irr Sorghum Sudangrass'!G$46+(C89-C$91)*('Irr Sorghum Sudangrass'!$D$24))/C89</f>
        <v>0.51168605992154226</v>
      </c>
      <c r="G89" s="219">
        <f>('Irr Sorghum Sudangrass'!F$60+(B89-B$91)*('Irr Sorghum Sudangrass'!$D$24))/B89</f>
        <v>0.68366333972396487</v>
      </c>
      <c r="H89" s="219">
        <f>('Irr Sorghum Sudangrass'!G$60+(C89-C$91)*('Irr Sorghum Sudangrass'!$D$24))/C89</f>
        <v>0.72069103504592036</v>
      </c>
      <c r="I89" s="219">
        <f>IF($D89=0,"N/A",('Irr Sorghum Sudangrass'!H$60+(D89-D$91)*('Irr Sorghum Sudangrass'!$D$24))/D89)</f>
        <v>0.61696303030303035</v>
      </c>
    </row>
    <row r="90" spans="1:9" x14ac:dyDescent="0.25">
      <c r="A90" s="213">
        <v>0.9</v>
      </c>
      <c r="B90" s="214">
        <f>'Irr Sorghum Sudangrass'!$B$9*$A90</f>
        <v>720</v>
      </c>
      <c r="C90" s="134">
        <f>'Irr Sorghum Sudangrass'!$B$9*(1-'Irr Sorghum Sudangrass'!$E$9)*$A90</f>
        <v>482.40000000000003</v>
      </c>
      <c r="D90" s="134">
        <f>'Irr Sorghum Sudangrass'!$B$9*'Irr Sorghum Sudangrass'!$E$9*$A90</f>
        <v>237.6</v>
      </c>
      <c r="E90" s="217">
        <f>('Irr Sorghum Sudangrass'!F$46+(B90-B$91)*('Irr Sorghum Sudangrass'!$D$24))/B90</f>
        <v>0.35302500532552628</v>
      </c>
      <c r="F90" s="217">
        <f>('Irr Sorghum Sudangrass'!G$46+(C90-C$91)*('Irr Sorghum Sudangrass'!$D$24))/C90</f>
        <v>0.42640504993461847</v>
      </c>
      <c r="G90" s="219">
        <f>('Irr Sorghum Sudangrass'!F$60+(B90-B$91)*('Irr Sorghum Sudangrass'!$D$24))/B90</f>
        <v>0.5697194497699708</v>
      </c>
      <c r="H90" s="219">
        <f>('Irr Sorghum Sudangrass'!G$60+(C90-C$91)*('Irr Sorghum Sudangrass'!$D$24))/C90</f>
        <v>0.60057586253826689</v>
      </c>
      <c r="I90" s="219">
        <f>IF($D90=0,"N/A",('Irr Sorghum Sudangrass'!H$60+(D90-D$91)*('Irr Sorghum Sudangrass'!$D$24))/D90)</f>
        <v>0.51413585858585864</v>
      </c>
    </row>
    <row r="91" spans="1:9" x14ac:dyDescent="0.25">
      <c r="A91" s="215">
        <v>1</v>
      </c>
      <c r="B91" s="214">
        <f>'Irr Sorghum Sudangrass'!$B$9*$A91</f>
        <v>800</v>
      </c>
      <c r="C91" s="134">
        <f>'Irr Sorghum Sudangrass'!$B$9*(1-'Irr Sorghum Sudangrass'!$E$9)*$A91</f>
        <v>536</v>
      </c>
      <c r="D91" s="134">
        <f>'Irr Sorghum Sudangrass'!$B$9*'Irr Sorghum Sudangrass'!$E$9*$A91</f>
        <v>264</v>
      </c>
      <c r="E91" s="217">
        <f>('Irr Sorghum Sudangrass'!F$46+(B91-B$91)*('Irr Sorghum Sudangrass'!$D$24))/B91</f>
        <v>0.31772250479297365</v>
      </c>
      <c r="F91" s="217">
        <f>('Irr Sorghum Sudangrass'!G$46+(C91-C$91)*('Irr Sorghum Sudangrass'!$D$24))/C91</f>
        <v>0.38376454494115664</v>
      </c>
      <c r="G91" s="219">
        <f>('Irr Sorghum Sudangrass'!F$60+(B91-B$91)*('Irr Sorghum Sudangrass'!$D$24))/B91</f>
        <v>0.51274750479297371</v>
      </c>
      <c r="H91" s="219">
        <f>('Irr Sorghum Sudangrass'!G$60+(C91-C$91)*('Irr Sorghum Sudangrass'!$D$24))/C91</f>
        <v>0.54051827628444027</v>
      </c>
      <c r="I91" s="219">
        <f>IF($D91=0,"N/A",('Irr Sorghum Sudangrass'!H$60+(D91-D$91)*('Irr Sorghum Sudangrass'!$D$24))/D91)</f>
        <v>0.46272227272727273</v>
      </c>
    </row>
    <row r="92" spans="1:9" x14ac:dyDescent="0.25">
      <c r="A92" s="213">
        <v>1.1000000000000001</v>
      </c>
      <c r="B92" s="214">
        <f>'Irr Sorghum Sudangrass'!$B$9*$A92</f>
        <v>880.00000000000011</v>
      </c>
      <c r="C92" s="134">
        <f>'Irr Sorghum Sudangrass'!$B$9*(1-'Irr Sorghum Sudangrass'!$E$9)*$A92</f>
        <v>589.6</v>
      </c>
      <c r="D92" s="134">
        <f>'Irr Sorghum Sudangrass'!$B$9*'Irr Sorghum Sudangrass'!$E$9*$A92</f>
        <v>290.40000000000003</v>
      </c>
      <c r="E92" s="217">
        <f>('Irr Sorghum Sudangrass'!F$46+(B92-B$91)*('Irr Sorghum Sudangrass'!$D$24))/B92</f>
        <v>0.28883864072088511</v>
      </c>
      <c r="F92" s="217">
        <f>('Irr Sorghum Sudangrass'!G$46+(C92-C$91)*('Irr Sorghum Sudangrass'!$D$24))/C92</f>
        <v>0.34887685903741511</v>
      </c>
      <c r="G92" s="219">
        <f>('Irr Sorghum Sudangrass'!F$60+(B92-B$91)*('Irr Sorghum Sudangrass'!$D$24))/B92</f>
        <v>0.46613409526633964</v>
      </c>
      <c r="H92" s="219">
        <f>('Irr Sorghum Sudangrass'!G$60+(C92-C$91)*('Irr Sorghum Sudangrass'!$D$24))/C92</f>
        <v>0.49138025116767292</v>
      </c>
      <c r="I92" s="219">
        <f>IF($D92=0,"N/A",('Irr Sorghum Sudangrass'!H$60+(D92-D$91)*('Irr Sorghum Sudangrass'!$D$24))/D92)</f>
        <v>0.42065661157024792</v>
      </c>
    </row>
    <row r="93" spans="1:9" x14ac:dyDescent="0.25">
      <c r="A93" s="213">
        <v>1.25</v>
      </c>
      <c r="B93" s="214">
        <f>'Irr Sorghum Sudangrass'!$B$9*$A93</f>
        <v>1000</v>
      </c>
      <c r="C93" s="134">
        <f>'Irr Sorghum Sudangrass'!$B$9*(1-'Irr Sorghum Sudangrass'!$E$9)*$A93</f>
        <v>670</v>
      </c>
      <c r="D93" s="134">
        <f>'Irr Sorghum Sudangrass'!$B$9*'Irr Sorghum Sudangrass'!$E$9*$A93</f>
        <v>330</v>
      </c>
      <c r="E93" s="217">
        <f>('Irr Sorghum Sudangrass'!F$46+(B93-B$91)*('Irr Sorghum Sudangrass'!$D$24))/B93</f>
        <v>0.25417800383437894</v>
      </c>
      <c r="F93" s="217">
        <f>('Irr Sorghum Sudangrass'!G$46+(C93-C$91)*('Irr Sorghum Sudangrass'!$D$24))/C93</f>
        <v>0.3070116359529253</v>
      </c>
      <c r="G93" s="219">
        <f>('Irr Sorghum Sudangrass'!F$60+(B93-B$91)*('Irr Sorghum Sudangrass'!$D$24))/B93</f>
        <v>0.41019800383437893</v>
      </c>
      <c r="H93" s="219">
        <f>('Irr Sorghum Sudangrass'!G$60+(C93-C$91)*('Irr Sorghum Sudangrass'!$D$24))/C93</f>
        <v>0.43241462102755218</v>
      </c>
      <c r="I93" s="219">
        <f>IF($D93=0,"N/A",('Irr Sorghum Sudangrass'!H$60+(D93-D$91)*('Irr Sorghum Sudangrass'!$D$24))/D93)</f>
        <v>0.37017781818181822</v>
      </c>
    </row>
    <row r="94" spans="1:9" x14ac:dyDescent="0.25">
      <c r="A94" s="110"/>
      <c r="B94" s="110"/>
    </row>
    <row r="95" spans="1:9" x14ac:dyDescent="0.25">
      <c r="A95" s="325" t="str">
        <f>'Irr Soybeans'!A3:H3</f>
        <v>Irrigated Soybeans</v>
      </c>
      <c r="B95" s="325"/>
      <c r="C95" s="325"/>
      <c r="D95" s="325"/>
      <c r="E95" s="325"/>
      <c r="F95" s="325"/>
      <c r="G95" s="325"/>
      <c r="H95" s="325"/>
      <c r="I95" s="325"/>
    </row>
    <row r="96" spans="1:9" ht="28.5" customHeight="1" x14ac:dyDescent="0.25">
      <c r="A96" s="278"/>
      <c r="B96" s="278"/>
      <c r="C96" s="279"/>
      <c r="D96" s="279"/>
      <c r="E96" s="326" t="s">
        <v>220</v>
      </c>
      <c r="F96" s="327"/>
      <c r="G96" s="328" t="s">
        <v>221</v>
      </c>
      <c r="H96" s="329"/>
      <c r="I96" s="329"/>
    </row>
    <row r="97" spans="1:9" x14ac:dyDescent="0.25">
      <c r="A97" s="211" t="s">
        <v>153</v>
      </c>
      <c r="B97" s="212" t="s">
        <v>154</v>
      </c>
      <c r="C97" s="127"/>
      <c r="D97" s="127"/>
      <c r="E97" s="216" t="s">
        <v>56</v>
      </c>
      <c r="F97" s="216" t="s">
        <v>52</v>
      </c>
      <c r="G97" s="218" t="s">
        <v>56</v>
      </c>
      <c r="H97" s="218" t="s">
        <v>52</v>
      </c>
      <c r="I97" s="218" t="s">
        <v>53</v>
      </c>
    </row>
    <row r="98" spans="1:9" x14ac:dyDescent="0.25">
      <c r="A98" s="213">
        <v>0.75</v>
      </c>
      <c r="B98" s="214">
        <f>'Irr Soybeans'!$B$9*$A98</f>
        <v>45</v>
      </c>
      <c r="C98" s="134">
        <f>'Irr Soybeans'!$B$9*(1-'Irr Soybeans'!$E$9)*$A98</f>
        <v>30.15</v>
      </c>
      <c r="D98" s="134">
        <f>'Irr Soybeans'!$B$9*'Irr Soybeans'!$E$9*$A98</f>
        <v>14.850000000000001</v>
      </c>
      <c r="E98" s="217">
        <f>('Irr Soybeans'!F$49+(B98-B$100)*('Irr Soybeans'!$D$27))/B98</f>
        <v>7.9417420106666672</v>
      </c>
      <c r="F98" s="217">
        <f>('Irr Soybeans'!G$49+(C98-C$100)*('Irr Soybeans'!$D$27))/C98</f>
        <v>10.494615497446103</v>
      </c>
      <c r="G98" s="219">
        <f>('Irr Soybeans'!F$63+(B98-B$100)*('Irr Soybeans'!$D$27))/B98</f>
        <v>11.742186455111112</v>
      </c>
      <c r="H98" s="219">
        <f>('Irr Soybeans'!G$63+(C98-C$100)*('Irr Soybeans'!$D$27))/C98</f>
        <v>13.778860936915423</v>
      </c>
      <c r="I98" s="219">
        <f>IF($D98=0,"N/A",('Irr Soybeans'!H$63+(D98-D$100)*('Irr Soybeans'!$D$27))/D98)</f>
        <v>7.7585526262626257</v>
      </c>
    </row>
    <row r="99" spans="1:9" x14ac:dyDescent="0.25">
      <c r="A99" s="213">
        <v>0.9</v>
      </c>
      <c r="B99" s="214">
        <f>'Irr Soybeans'!$B$9*$A99</f>
        <v>54</v>
      </c>
      <c r="C99" s="134">
        <f>'Irr Soybeans'!$B$9*(1-'Irr Soybeans'!$E$9)*$A99</f>
        <v>36.18</v>
      </c>
      <c r="D99" s="134">
        <f>'Irr Soybeans'!$B$9*'Irr Soybeans'!$E$9*$A99</f>
        <v>17.82</v>
      </c>
      <c r="E99" s="217">
        <f>('Irr Soybeans'!F$49+(B99-B$100)*('Irr Soybeans'!$D$27))/B99</f>
        <v>6.7281183422222224</v>
      </c>
      <c r="F99" s="217">
        <f>('Irr Soybeans'!G$49+(C99-C$100)*('Irr Soybeans'!$D$27))/C99</f>
        <v>8.8555129145384193</v>
      </c>
      <c r="G99" s="219">
        <f>('Irr Soybeans'!F$63+(B99-B$100)*('Irr Soybeans'!$D$27))/B99</f>
        <v>9.8951553792592577</v>
      </c>
      <c r="H99" s="219">
        <f>('Irr Soybeans'!G$63+(C99-C$100)*('Irr Soybeans'!$D$27))/C99</f>
        <v>11.592384114096186</v>
      </c>
      <c r="I99" s="219">
        <f>IF($D99=0,"N/A",('Irr Soybeans'!H$63+(D99-D$100)*('Irr Soybeans'!$D$27))/D99)</f>
        <v>6.575460521885522</v>
      </c>
    </row>
    <row r="100" spans="1:9" x14ac:dyDescent="0.25">
      <c r="A100" s="215">
        <v>1</v>
      </c>
      <c r="B100" s="214">
        <f>'Irr Soybeans'!$B$9*$A100</f>
        <v>60</v>
      </c>
      <c r="C100" s="134">
        <f>'Irr Soybeans'!$B$9*(1-'Irr Soybeans'!$E$9)*$A100</f>
        <v>40.199999999999996</v>
      </c>
      <c r="D100" s="134">
        <f>'Irr Soybeans'!$B$9*'Irr Soybeans'!$E$9*$A100</f>
        <v>19.8</v>
      </c>
      <c r="E100" s="217">
        <f>('Irr Soybeans'!F$49+(B100-B$100)*('Irr Soybeans'!$D$27))/B100</f>
        <v>6.121306508</v>
      </c>
      <c r="F100" s="217">
        <f>('Irr Soybeans'!G$49+(C100-C$100)*('Irr Soybeans'!$D$27))/C100</f>
        <v>8.0359616230845781</v>
      </c>
      <c r="G100" s="219">
        <f>('Irr Soybeans'!F$63+(B100-B$100)*('Irr Soybeans'!$D$27))/B100</f>
        <v>8.9716398413333334</v>
      </c>
      <c r="H100" s="219">
        <f>('Irr Soybeans'!G$63+(C100-C$100)*('Irr Soybeans'!$D$27))/C100</f>
        <v>10.499145702686567</v>
      </c>
      <c r="I100" s="219">
        <f>IF($D100=0,"N/A",('Irr Soybeans'!H$63+(D100-D$100)*('Irr Soybeans'!$D$27))/D100)</f>
        <v>5.9839144696969688</v>
      </c>
    </row>
    <row r="101" spans="1:9" x14ac:dyDescent="0.25">
      <c r="A101" s="213">
        <v>1.1000000000000001</v>
      </c>
      <c r="B101" s="214">
        <f>'Irr Soybeans'!$B$9*$A101</f>
        <v>66</v>
      </c>
      <c r="C101" s="134">
        <f>'Irr Soybeans'!$B$9*(1-'Irr Soybeans'!$E$9)*$A101</f>
        <v>44.22</v>
      </c>
      <c r="D101" s="134">
        <f>'Irr Soybeans'!$B$9*'Irr Soybeans'!$E$9*$A101</f>
        <v>21.78</v>
      </c>
      <c r="E101" s="217">
        <f>('Irr Soybeans'!F$49+(B101-B$100)*('Irr Soybeans'!$D$27))/B101</f>
        <v>5.6248240981818176</v>
      </c>
      <c r="F101" s="217">
        <f>('Irr Soybeans'!G$49+(C101-C$100)*('Irr Soybeans'!$D$27))/C101</f>
        <v>7.3654196573496167</v>
      </c>
      <c r="G101" s="219">
        <f>('Irr Soybeans'!F$63+(B101-B$100)*('Irr Soybeans'!$D$27))/B101</f>
        <v>8.2160362193939402</v>
      </c>
      <c r="H101" s="219">
        <f>('Irr Soybeans'!G$63+(C101-C$100)*('Irr Soybeans'!$D$27))/C101</f>
        <v>9.6046779115332441</v>
      </c>
      <c r="I101" s="219">
        <f>IF($D101=0,"N/A",('Irr Soybeans'!H$63+(D101-D$100)*('Irr Soybeans'!$D$27))/D101)</f>
        <v>5.4999222451790626</v>
      </c>
    </row>
    <row r="102" spans="1:9" x14ac:dyDescent="0.25">
      <c r="A102" s="213">
        <v>1.25</v>
      </c>
      <c r="B102" s="214">
        <f>'Irr Soybeans'!$B$9*$A102</f>
        <v>75</v>
      </c>
      <c r="C102" s="134">
        <f>'Irr Soybeans'!$B$9*(1-'Irr Soybeans'!$E$9)*$A102</f>
        <v>50.249999999999993</v>
      </c>
      <c r="D102" s="134">
        <f>'Irr Soybeans'!$B$9*'Irr Soybeans'!$E$9*$A102</f>
        <v>24.75</v>
      </c>
      <c r="E102" s="217">
        <f>('Irr Soybeans'!F$49+(B102-B$100)*('Irr Soybeans'!$D$27))/B102</f>
        <v>5.0290452063999993</v>
      </c>
      <c r="F102" s="217">
        <f>('Irr Soybeans'!G$49+(C102-C$100)*('Irr Soybeans'!$D$27))/C102</f>
        <v>6.5607692984676618</v>
      </c>
      <c r="G102" s="219">
        <f>('Irr Soybeans'!F$63+(B102-B$100)*('Irr Soybeans'!$D$27))/B102</f>
        <v>7.3093118730666662</v>
      </c>
      <c r="H102" s="219">
        <f>('Irr Soybeans'!G$63+(C102-C$100)*('Irr Soybeans'!$D$27))/C102</f>
        <v>8.5313165621492537</v>
      </c>
      <c r="I102" s="219">
        <f>IF($D102=0,"N/A",('Irr Soybeans'!H$63+(D102-D$100)*('Irr Soybeans'!$D$27))/D102)</f>
        <v>4.9191315757575751</v>
      </c>
    </row>
    <row r="103" spans="1:9" x14ac:dyDescent="0.25">
      <c r="A103" s="110"/>
      <c r="B103" s="110"/>
    </row>
    <row r="104" spans="1:9" x14ac:dyDescent="0.25">
      <c r="A104" s="325" t="str">
        <f>'Irr Sunflowers-Confection'!A3:H3</f>
        <v xml:space="preserve">Irrigated Sunflowers-Confectionary </v>
      </c>
      <c r="B104" s="325"/>
      <c r="C104" s="325"/>
      <c r="D104" s="325"/>
      <c r="E104" s="325"/>
      <c r="F104" s="325"/>
      <c r="G104" s="325"/>
      <c r="H104" s="325"/>
      <c r="I104" s="325"/>
    </row>
    <row r="105" spans="1:9" ht="28.5" customHeight="1" x14ac:dyDescent="0.25">
      <c r="A105" s="278"/>
      <c r="B105" s="278"/>
      <c r="C105" s="279"/>
      <c r="D105" s="279"/>
      <c r="E105" s="326" t="s">
        <v>220</v>
      </c>
      <c r="F105" s="327"/>
      <c r="G105" s="328" t="s">
        <v>221</v>
      </c>
      <c r="H105" s="329"/>
      <c r="I105" s="329"/>
    </row>
    <row r="106" spans="1:9" x14ac:dyDescent="0.25">
      <c r="A106" s="211" t="s">
        <v>153</v>
      </c>
      <c r="B106" s="212" t="s">
        <v>152</v>
      </c>
      <c r="C106" s="127"/>
      <c r="D106" s="127"/>
      <c r="E106" s="216" t="s">
        <v>56</v>
      </c>
      <c r="F106" s="216" t="s">
        <v>52</v>
      </c>
      <c r="G106" s="218" t="s">
        <v>56</v>
      </c>
      <c r="H106" s="218" t="s">
        <v>52</v>
      </c>
      <c r="I106" s="218" t="s">
        <v>53</v>
      </c>
    </row>
    <row r="107" spans="1:9" x14ac:dyDescent="0.25">
      <c r="A107" s="213">
        <v>0.75</v>
      </c>
      <c r="B107" s="214">
        <f>'Irr Sunflowers-Confection'!$B$9*$A107</f>
        <v>13.5</v>
      </c>
      <c r="C107" s="134">
        <f>'Irr Sunflowers-Confection'!$B$9*(1-'Irr Sunflowers-Confection'!$E$9)*$A107</f>
        <v>9.0449999999999982</v>
      </c>
      <c r="D107" s="134">
        <f>'Irr Sunflowers-Confection'!$B$9*'Irr Sunflowers-Confection'!$E$9*$A107</f>
        <v>4.4550000000000001</v>
      </c>
      <c r="E107" s="217">
        <f>('Irr Sunflowers-Confection'!F$49+(B107-B$109)*('Irr Sunflowers-Confection'!$D$26))/B107</f>
        <v>20.95171171481481</v>
      </c>
      <c r="F107" s="217">
        <f>('Irr Sunflowers-Confection'!G$49+(C107-C$109)*('Irr Sunflowers-Confection'!$D$26))/C107</f>
        <v>26.029704207227752</v>
      </c>
      <c r="G107" s="219">
        <f>('Irr Sunflowers-Confection'!F$63+(B107-B$109)*('Irr Sunflowers-Confection'!$D$26))/B107</f>
        <v>32.24282282592592</v>
      </c>
      <c r="H107" s="219">
        <f>('Irr Sunflowers-Confection'!G$63+(C107-C$109)*('Irr Sunflowers-Confection'!$D$26))/C107</f>
        <v>34.921909845702054</v>
      </c>
      <c r="I107" s="219">
        <f>IF($D107=0, "N/A", ('Irr Sunflowers-Confection'!H$63+(D107-D$109)*('Irr Sunflowers-Confection'!$D$26))/D107)</f>
        <v>26.874304518097645</v>
      </c>
    </row>
    <row r="108" spans="1:9" x14ac:dyDescent="0.25">
      <c r="A108" s="213">
        <v>0.9</v>
      </c>
      <c r="B108" s="214">
        <f>'Irr Sunflowers-Confection'!$B$9*$A108</f>
        <v>16.2</v>
      </c>
      <c r="C108" s="134">
        <f>'Irr Sunflowers-Confection'!$B$9*(1-'Irr Sunflowers-Confection'!$E$9)*$A108</f>
        <v>10.853999999999999</v>
      </c>
      <c r="D108" s="134">
        <f>'Irr Sunflowers-Confection'!$B$9*'Irr Sunflowers-Confection'!$E$9*$A108</f>
        <v>5.3460000000000001</v>
      </c>
      <c r="E108" s="217">
        <f>('Irr Sunflowers-Confection'!F$49+(B108-B$109)*('Irr Sunflowers-Confection'!$D$26))/B108</f>
        <v>17.534759762345672</v>
      </c>
      <c r="F108" s="217">
        <f>('Irr Sunflowers-Confection'!G$49+(C108-C$109)*('Irr Sunflowers-Confection'!$D$26))/C108</f>
        <v>21.766420172689791</v>
      </c>
      <c r="G108" s="219">
        <f>('Irr Sunflowers-Confection'!F$63+(B108-B$109)*('Irr Sunflowers-Confection'!$D$26))/B108</f>
        <v>26.944019021604934</v>
      </c>
      <c r="H108" s="219">
        <f>('Irr Sunflowers-Confection'!G$63+(C108-C$109)*('Irr Sunflowers-Confection'!$D$26))/C108</f>
        <v>29.176591538085034</v>
      </c>
      <c r="I108" s="219">
        <f>IF($D108=0, "N/A", ('Irr Sunflowers-Confection'!H$63+(D108-D$109)*('Irr Sunflowers-Confection'!$D$26))/D108)</f>
        <v>22.47025376508137</v>
      </c>
    </row>
    <row r="109" spans="1:9" x14ac:dyDescent="0.25">
      <c r="A109" s="215">
        <v>1</v>
      </c>
      <c r="B109" s="214">
        <f>'Irr Sunflowers-Confection'!$B$9*$A109</f>
        <v>18</v>
      </c>
      <c r="C109" s="134">
        <f>'Irr Sunflowers-Confection'!$B$9*(1-'Irr Sunflowers-Confection'!$E$9)*$A109</f>
        <v>12.059999999999999</v>
      </c>
      <c r="D109" s="134">
        <f>'Irr Sunflowers-Confection'!$B$9*'Irr Sunflowers-Confection'!$E$9*$A109</f>
        <v>5.94</v>
      </c>
      <c r="E109" s="217">
        <f>('Irr Sunflowers-Confection'!F$49+(B109-B$109)*('Irr Sunflowers-Confection'!$D$26))/B109</f>
        <v>15.826283786111105</v>
      </c>
      <c r="F109" s="217">
        <f>('Irr Sunflowers-Confection'!G$49+(C109-C$109)*('Irr Sunflowers-Confection'!$D$26))/C109</f>
        <v>19.634778155420815</v>
      </c>
      <c r="G109" s="219">
        <f>('Irr Sunflowers-Confection'!F$63+(B109-B$109)*('Irr Sunflowers-Confection'!$D$26))/B109</f>
        <v>24.294617119444439</v>
      </c>
      <c r="H109" s="219">
        <f>('Irr Sunflowers-Confection'!G$63+(C109-C$109)*('Irr Sunflowers-Confection'!$D$26))/C109</f>
        <v>26.303932384276536</v>
      </c>
      <c r="I109" s="219">
        <f>IF($D109=0, "N/A", ('Irr Sunflowers-Confection'!H$63+(D109-D$109)*('Irr Sunflowers-Confection'!$D$26))/D109)</f>
        <v>20.268228388573231</v>
      </c>
    </row>
    <row r="110" spans="1:9" x14ac:dyDescent="0.25">
      <c r="A110" s="213">
        <v>1.1000000000000001</v>
      </c>
      <c r="B110" s="214">
        <f>'Irr Sunflowers-Confection'!$B$9*$A110</f>
        <v>19.8</v>
      </c>
      <c r="C110" s="134">
        <f>'Irr Sunflowers-Confection'!$B$9*(1-'Irr Sunflowers-Confection'!$E$9)*$A110</f>
        <v>13.266</v>
      </c>
      <c r="D110" s="134">
        <f>'Irr Sunflowers-Confection'!$B$9*'Irr Sunflowers-Confection'!$E$9*$A110</f>
        <v>6.5340000000000007</v>
      </c>
      <c r="E110" s="217">
        <f>('Irr Sunflowers-Confection'!F$49+(B110-B$109)*('Irr Sunflowers-Confection'!$D$26))/B110</f>
        <v>14.42843980555555</v>
      </c>
      <c r="F110" s="217">
        <f>('Irr Sunflowers-Confection'!G$49+(C110-C$109)*('Irr Sunflowers-Confection'!$D$26))/C110</f>
        <v>17.89070741401892</v>
      </c>
      <c r="G110" s="219">
        <f>('Irr Sunflowers-Confection'!F$63+(B110-B$109)*('Irr Sunflowers-Confection'!$D$26))/B110</f>
        <v>22.126924654040398</v>
      </c>
      <c r="H110" s="219">
        <f>('Irr Sunflowers-Confection'!G$63+(C110-C$109)*('Irr Sunflowers-Confection'!$D$26))/C110</f>
        <v>23.953574894796848</v>
      </c>
      <c r="I110" s="219">
        <f>IF($D110=0, "N/A", ('Irr Sunflowers-Confection'!H$63+(D110-D$109)*('Irr Sunflowers-Confection'!$D$26))/D110)</f>
        <v>18.466571262339301</v>
      </c>
    </row>
    <row r="111" spans="1:9" ht="13.35" customHeight="1" x14ac:dyDescent="0.25">
      <c r="A111" s="213">
        <v>1.25</v>
      </c>
      <c r="B111" s="214">
        <f>'Irr Sunflowers-Confection'!$B$9*$A111</f>
        <v>22.5</v>
      </c>
      <c r="C111" s="134">
        <f>'Irr Sunflowers-Confection'!$B$9*(1-'Irr Sunflowers-Confection'!$E$9)*$A111</f>
        <v>15.074999999999999</v>
      </c>
      <c r="D111" s="134">
        <f>'Irr Sunflowers-Confection'!$B$9*'Irr Sunflowers-Confection'!$E$9*$A111</f>
        <v>7.4250000000000007</v>
      </c>
      <c r="E111" s="217">
        <f>('Irr Sunflowers-Confection'!F$49+(B111-B$109)*('Irr Sunflowers-Confection'!$D$26))/B111</f>
        <v>12.751027028888883</v>
      </c>
      <c r="F111" s="217">
        <f>('Irr Sunflowers-Confection'!G$49+(C111-C$109)*('Irr Sunflowers-Confection'!$D$26))/C111</f>
        <v>15.797822524336651</v>
      </c>
      <c r="G111" s="219">
        <f>('Irr Sunflowers-Confection'!F$63+(B111-B$109)*('Irr Sunflowers-Confection'!$D$26))/B111</f>
        <v>19.52569369555555</v>
      </c>
      <c r="H111" s="219">
        <f>('Irr Sunflowers-Confection'!G$63+(C111-C$109)*('Irr Sunflowers-Confection'!$D$26))/C111</f>
        <v>21.133145907421223</v>
      </c>
      <c r="I111" s="219">
        <f>IF($D111=0, "N/A", ('Irr Sunflowers-Confection'!H$63+(D111-D$109)*('Irr Sunflowers-Confection'!$D$26))/D111)</f>
        <v>16.304582710858586</v>
      </c>
    </row>
    <row r="112" spans="1:9" ht="13.35" customHeight="1" x14ac:dyDescent="0.25">
      <c r="A112" s="110"/>
      <c r="B112" s="110"/>
    </row>
    <row r="113" spans="1:9" ht="13.35" customHeight="1" x14ac:dyDescent="0.25">
      <c r="A113" s="325" t="str">
        <f>'Irr Sunflowers-Oilseed'!A3:H3</f>
        <v xml:space="preserve">Irrigated Sunflowers-Oilseed </v>
      </c>
      <c r="B113" s="325"/>
      <c r="C113" s="325"/>
      <c r="D113" s="325"/>
      <c r="E113" s="325"/>
      <c r="F113" s="325"/>
      <c r="G113" s="325"/>
      <c r="H113" s="325"/>
      <c r="I113" s="325"/>
    </row>
    <row r="114" spans="1:9" ht="28.5" customHeight="1" x14ac:dyDescent="0.25">
      <c r="A114" s="278"/>
      <c r="B114" s="278"/>
      <c r="C114" s="279"/>
      <c r="D114" s="279"/>
      <c r="E114" s="326" t="s">
        <v>220</v>
      </c>
      <c r="F114" s="327"/>
      <c r="G114" s="328" t="s">
        <v>221</v>
      </c>
      <c r="H114" s="329"/>
      <c r="I114" s="329"/>
    </row>
    <row r="115" spans="1:9" ht="13.35" customHeight="1" x14ac:dyDescent="0.25">
      <c r="A115" s="211" t="s">
        <v>153</v>
      </c>
      <c r="B115" s="212" t="s">
        <v>152</v>
      </c>
      <c r="C115" s="127"/>
      <c r="D115" s="127"/>
      <c r="E115" s="216" t="s">
        <v>56</v>
      </c>
      <c r="F115" s="216" t="s">
        <v>52</v>
      </c>
      <c r="G115" s="218" t="s">
        <v>56</v>
      </c>
      <c r="H115" s="218" t="s">
        <v>52</v>
      </c>
      <c r="I115" s="218" t="s">
        <v>53</v>
      </c>
    </row>
    <row r="116" spans="1:9" ht="13.35" customHeight="1" x14ac:dyDescent="0.25">
      <c r="A116" s="213">
        <v>0.75</v>
      </c>
      <c r="B116" s="214">
        <f>'Irr Sunflowers-Oilseed'!$B$9*$A116</f>
        <v>15</v>
      </c>
      <c r="C116" s="134">
        <f>'Irr Sunflowers-Oilseed'!$B$9*(1-'Irr Sunflowers-Oilseed'!$E$9)*$A116</f>
        <v>10.049999999999999</v>
      </c>
      <c r="D116" s="134">
        <f>'Irr Sunflowers-Oilseed'!$B$9*'Irr Sunflowers-Oilseed'!$E$9*$A116</f>
        <v>4.95</v>
      </c>
      <c r="E116" s="217">
        <f>('Irr Sunflowers-Oilseed'!F$48+(B116-B$118)*('Irr Sunflowers-Oilseed'!$D$25))/B116</f>
        <v>18.775035781428567</v>
      </c>
      <c r="F116" s="217">
        <f>('Irr Sunflowers-Oilseed'!G$48+(C116-C$118)*('Irr Sunflowers-Oilseed'!$D$25))/C116</f>
        <v>22.202562841231348</v>
      </c>
      <c r="G116" s="219">
        <f>('Irr Sunflowers-Oilseed'!F$62+(B116-B$118)*('Irr Sunflowers-Oilseed'!$D$25))/B116</f>
        <v>28.937035781428566</v>
      </c>
      <c r="H116" s="219">
        <f>('Irr Sunflowers-Oilseed'!G$62+(C116-C$118)*('Irr Sunflowers-Oilseed'!$D$25))/C116</f>
        <v>30.205547915858215</v>
      </c>
      <c r="I116" s="219">
        <f>IF($D116=0, "N/A", ('Irr Sunflowers-Oilseed'!H$62+(D116-D$118)*('Irr Sunflowers-Oilseed'!$D$25))/D116)</f>
        <v>26.424847399621211</v>
      </c>
    </row>
    <row r="117" spans="1:9" ht="13.35" customHeight="1" x14ac:dyDescent="0.25">
      <c r="A117" s="213">
        <v>0.9</v>
      </c>
      <c r="B117" s="214">
        <f>'Irr Sunflowers-Oilseed'!$B$9*$A117</f>
        <v>18</v>
      </c>
      <c r="C117" s="134">
        <f>'Irr Sunflowers-Oilseed'!$B$9*(1-'Irr Sunflowers-Oilseed'!$E$9)*$A117</f>
        <v>12.059999999999999</v>
      </c>
      <c r="D117" s="134">
        <f>'Irr Sunflowers-Oilseed'!$B$9*'Irr Sunflowers-Oilseed'!$E$9*$A117</f>
        <v>5.94</v>
      </c>
      <c r="E117" s="217">
        <f>('Irr Sunflowers-Oilseed'!F$48+(B117-B$118)*('Irr Sunflowers-Oilseed'!$D$25))/B117</f>
        <v>15.720863151190473</v>
      </c>
      <c r="F117" s="217">
        <f>('Irr Sunflowers-Oilseed'!G$48+(C117-C$118)*('Irr Sunflowers-Oilseed'!$D$25))/C117</f>
        <v>18.577135701026119</v>
      </c>
      <c r="G117" s="219">
        <f>('Irr Sunflowers-Oilseed'!F$62+(B117-B$118)*('Irr Sunflowers-Oilseed'!$D$25))/B117</f>
        <v>24.189196484523805</v>
      </c>
      <c r="H117" s="219">
        <f>('Irr Sunflowers-Oilseed'!G$62+(C117-C$118)*('Irr Sunflowers-Oilseed'!$D$25))/C117</f>
        <v>25.246289929881844</v>
      </c>
      <c r="I117" s="219">
        <f>IF($D117=0, "N/A", ('Irr Sunflowers-Oilseed'!H$62+(D117-D$118)*('Irr Sunflowers-Oilseed'!$D$25))/D117)</f>
        <v>22.095706166351007</v>
      </c>
    </row>
    <row r="118" spans="1:9" ht="13.35" customHeight="1" x14ac:dyDescent="0.25">
      <c r="A118" s="215">
        <v>1</v>
      </c>
      <c r="B118" s="214">
        <f>'Irr Sunflowers-Oilseed'!$B$9*$A118</f>
        <v>20</v>
      </c>
      <c r="C118" s="134">
        <f>'Irr Sunflowers-Oilseed'!$B$9*(1-'Irr Sunflowers-Oilseed'!$E$9)*$A118</f>
        <v>13.399999999999999</v>
      </c>
      <c r="D118" s="134">
        <f>'Irr Sunflowers-Oilseed'!$B$9*'Irr Sunflowers-Oilseed'!$E$9*$A118</f>
        <v>6.6000000000000005</v>
      </c>
      <c r="E118" s="217">
        <f>('Irr Sunflowers-Oilseed'!F$48+(B118-B$118)*('Irr Sunflowers-Oilseed'!$D$25))/B118</f>
        <v>14.193776836071425</v>
      </c>
      <c r="F118" s="217">
        <f>('Irr Sunflowers-Oilseed'!G$48+(C118-C$118)*('Irr Sunflowers-Oilseed'!$D$25))/C118</f>
        <v>16.76442213092351</v>
      </c>
      <c r="G118" s="219">
        <f>('Irr Sunflowers-Oilseed'!F$62+(B118-B$118)*('Irr Sunflowers-Oilseed'!$D$25))/B118</f>
        <v>21.815276836071426</v>
      </c>
      <c r="H118" s="219">
        <f>('Irr Sunflowers-Oilseed'!G$62+(C118-C$118)*('Irr Sunflowers-Oilseed'!$D$25))/C118</f>
        <v>22.766660936893661</v>
      </c>
      <c r="I118" s="219">
        <f>IF($D118=0, "N/A", ('Irr Sunflowers-Oilseed'!H$62+(D118-D$118)*('Irr Sunflowers-Oilseed'!$D$25))/D118)</f>
        <v>19.931135549715908</v>
      </c>
    </row>
    <row r="119" spans="1:9" ht="13.35" customHeight="1" x14ac:dyDescent="0.25">
      <c r="A119" s="213">
        <v>1.1000000000000001</v>
      </c>
      <c r="B119" s="214">
        <f>'Irr Sunflowers-Oilseed'!$B$9*$A119</f>
        <v>22</v>
      </c>
      <c r="C119" s="134">
        <f>'Irr Sunflowers-Oilseed'!$B$9*(1-'Irr Sunflowers-Oilseed'!$E$9)*$A119</f>
        <v>14.74</v>
      </c>
      <c r="D119" s="134">
        <f>'Irr Sunflowers-Oilseed'!$B$9*'Irr Sunflowers-Oilseed'!$E$9*$A119</f>
        <v>7.2600000000000016</v>
      </c>
      <c r="E119" s="217">
        <f>('Irr Sunflowers-Oilseed'!F$48+(B119-B$118)*('Irr Sunflowers-Oilseed'!$D$25))/B119</f>
        <v>12.944342578246749</v>
      </c>
      <c r="F119" s="217">
        <f>('Irr Sunflowers-Oilseed'!G$48+(C119-C$118)*('Irr Sunflowers-Oilseed'!$D$25))/C119</f>
        <v>15.281292846294098</v>
      </c>
      <c r="G119" s="219">
        <f>('Irr Sunflowers-Oilseed'!F$62+(B119-B$118)*('Irr Sunflowers-Oilseed'!$D$25))/B119</f>
        <v>19.872978941883112</v>
      </c>
      <c r="H119" s="219">
        <f>('Irr Sunflowers-Oilseed'!G$62+(C119-C$118)*('Irr Sunflowers-Oilseed'!$D$25))/C119</f>
        <v>20.737873578994233</v>
      </c>
      <c r="I119" s="219">
        <f>IF($D119=0, "N/A", ('Irr Sunflowers-Oilseed'!H$62+(D119-D$118)*('Irr Sunflowers-Oilseed'!$D$25))/D119)</f>
        <v>18.160123227014459</v>
      </c>
    </row>
    <row r="120" spans="1:9" ht="13.35" customHeight="1" x14ac:dyDescent="0.25">
      <c r="A120" s="213">
        <v>1.25</v>
      </c>
      <c r="B120" s="214">
        <f>'Irr Sunflowers-Oilseed'!$B$9*$A120</f>
        <v>25</v>
      </c>
      <c r="C120" s="134">
        <f>'Irr Sunflowers-Oilseed'!$B$9*(1-'Irr Sunflowers-Oilseed'!$E$9)*$A120</f>
        <v>16.75</v>
      </c>
      <c r="D120" s="134">
        <f>'Irr Sunflowers-Oilseed'!$B$9*'Irr Sunflowers-Oilseed'!$E$9*$A120</f>
        <v>8.25</v>
      </c>
      <c r="E120" s="217">
        <f>('Irr Sunflowers-Oilseed'!F$48+(B120-B$118)*('Irr Sunflowers-Oilseed'!$D$25))/B120</f>
        <v>11.44502146885714</v>
      </c>
      <c r="F120" s="217">
        <f>('Irr Sunflowers-Oilseed'!G$48+(C120-C$118)*('Irr Sunflowers-Oilseed'!$D$25))/C120</f>
        <v>13.501537704738805</v>
      </c>
      <c r="G120" s="219">
        <f>('Irr Sunflowers-Oilseed'!F$62+(B120-B$118)*('Irr Sunflowers-Oilseed'!$D$25))/B120</f>
        <v>17.542221468857139</v>
      </c>
      <c r="H120" s="219">
        <f>('Irr Sunflowers-Oilseed'!G$62+(C120-C$118)*('Irr Sunflowers-Oilseed'!$D$25))/C120</f>
        <v>18.303328749514925</v>
      </c>
      <c r="I120" s="219">
        <f>IF($D120=0, "N/A", ('Irr Sunflowers-Oilseed'!H$62+(D120-D$118)*('Irr Sunflowers-Oilseed'!$D$25))/D120)</f>
        <v>16.034908439772728</v>
      </c>
    </row>
    <row r="121" spans="1:9" ht="13.35" customHeight="1" x14ac:dyDescent="0.25">
      <c r="A121" s="110"/>
      <c r="B121" s="110"/>
    </row>
    <row r="122" spans="1:9" x14ac:dyDescent="0.25">
      <c r="A122" s="325" t="str">
        <f>'Irr Triticale Silage'!A3:H3</f>
        <v>Irrigated Triticale Silage</v>
      </c>
      <c r="B122" s="325"/>
      <c r="C122" s="325"/>
      <c r="D122" s="325"/>
      <c r="E122" s="325"/>
      <c r="F122" s="325"/>
      <c r="G122" s="325"/>
      <c r="H122" s="325"/>
      <c r="I122" s="325"/>
    </row>
    <row r="123" spans="1:9" ht="28.5" customHeight="1" x14ac:dyDescent="0.25">
      <c r="A123" s="278"/>
      <c r="B123" s="278"/>
      <c r="C123" s="279"/>
      <c r="D123" s="279"/>
      <c r="E123" s="326" t="s">
        <v>220</v>
      </c>
      <c r="F123" s="327"/>
      <c r="G123" s="328" t="s">
        <v>221</v>
      </c>
      <c r="H123" s="329"/>
      <c r="I123" s="329"/>
    </row>
    <row r="124" spans="1:9" x14ac:dyDescent="0.25">
      <c r="A124" s="211" t="s">
        <v>153</v>
      </c>
      <c r="B124" s="292" t="s">
        <v>252</v>
      </c>
      <c r="C124" s="127"/>
      <c r="D124" s="127"/>
      <c r="E124" s="216" t="s">
        <v>56</v>
      </c>
      <c r="F124" s="216" t="s">
        <v>52</v>
      </c>
      <c r="G124" s="218" t="s">
        <v>56</v>
      </c>
      <c r="H124" s="218" t="s">
        <v>52</v>
      </c>
      <c r="I124" s="218" t="s">
        <v>53</v>
      </c>
    </row>
    <row r="125" spans="1:9" x14ac:dyDescent="0.25">
      <c r="A125" s="213">
        <v>0.75</v>
      </c>
      <c r="B125" s="214">
        <f>'Irr Triticale Silage'!$B$9*$A125</f>
        <v>7.5</v>
      </c>
      <c r="C125" s="134">
        <f>'Irr Triticale Silage'!$B$9*(1-'Irr Triticale Silage'!$E$9)*$A125</f>
        <v>5.0249999999999995</v>
      </c>
      <c r="D125" s="134">
        <f>'Irr Triticale Silage'!$B$9*'Irr Triticale Silage'!$E$9*$A125</f>
        <v>2.4750000000000001</v>
      </c>
      <c r="E125" s="217">
        <f>('Irr Triticale Silage'!F$46+(B125-B$127)*('Irr Triticale Silage'!$D$24))/B125</f>
        <v>38.854324789725489</v>
      </c>
      <c r="F125" s="217">
        <f>('Irr Triticale Silage'!G$46+(C125-C$127)*('Irr Triticale Silage'!$D$24))/C125</f>
        <v>52.943793195920392</v>
      </c>
      <c r="G125" s="219">
        <f>('Irr Triticale Silage'!F$60+(B125-B$127)*('Irr Triticale Silage'!$D$24))/B125</f>
        <v>60.176991456392152</v>
      </c>
      <c r="H125" s="219">
        <f>('Irr Triticale Silage'!G$60+(C125-C$127)*('Irr Triticale Silage'!$D$24))/C125</f>
        <v>70.440310608855725</v>
      </c>
      <c r="I125" s="219">
        <f>IF($D125=0,"N/A",('Irr Triticale Silage'!H$60+(D125-D$127)*('Irr Triticale Silage'!$D$24))/D125)</f>
        <v>38.921562424242424</v>
      </c>
    </row>
    <row r="126" spans="1:9" x14ac:dyDescent="0.25">
      <c r="A126" s="213">
        <v>0.9</v>
      </c>
      <c r="B126" s="214">
        <f>'Irr Triticale Silage'!$B$9*$A126</f>
        <v>9</v>
      </c>
      <c r="C126" s="134">
        <f>'Irr Triticale Silage'!$B$9*(1-'Irr Triticale Silage'!$E$9)*$A126</f>
        <v>6.0299999999999994</v>
      </c>
      <c r="D126" s="134">
        <f>'Irr Triticale Silage'!$B$9*'Irr Triticale Silage'!$E$9*$A126</f>
        <v>2.97</v>
      </c>
      <c r="E126" s="217">
        <f>('Irr Triticale Silage'!F$46+(B126-B$127)*('Irr Triticale Silage'!$D$24))/B126</f>
        <v>33.878603991437906</v>
      </c>
      <c r="F126" s="217">
        <f>('Irr Triticale Silage'!G$46+(C126-C$127)*('Irr Triticale Silage'!$D$24))/C126</f>
        <v>45.619827663266996</v>
      </c>
      <c r="G126" s="219">
        <f>('Irr Triticale Silage'!F$60+(B126-B$127)*('Irr Triticale Silage'!$D$24))/B126</f>
        <v>51.647492880326794</v>
      </c>
      <c r="H126" s="219">
        <f>('Irr Triticale Silage'!G$60+(C126-C$127)*('Irr Triticale Silage'!$D$24))/C126</f>
        <v>60.200258840713104</v>
      </c>
      <c r="I126" s="219">
        <f>IF($D126=0,"N/A",('Irr Triticale Silage'!H$60+(D126-D$127)*('Irr Triticale Silage'!$D$24))/D126)</f>
        <v>33.934635353535349</v>
      </c>
    </row>
    <row r="127" spans="1:9" x14ac:dyDescent="0.25">
      <c r="A127" s="215">
        <v>1</v>
      </c>
      <c r="B127" s="214">
        <f>'Irr Triticale Silage'!$B$9*$A127</f>
        <v>10</v>
      </c>
      <c r="C127" s="134">
        <f>'Irr Triticale Silage'!$B$9*(1-'Irr Triticale Silage'!$E$9)*$A127</f>
        <v>6.6999999999999993</v>
      </c>
      <c r="D127" s="134">
        <f>'Irr Triticale Silage'!$B$9*'Irr Triticale Silage'!$E$9*$A127</f>
        <v>3.3000000000000003</v>
      </c>
      <c r="E127" s="217">
        <f>('Irr Triticale Silage'!F$46+(B127-B$127)*('Irr Triticale Silage'!$D$24))/B127</f>
        <v>31.390743592294115</v>
      </c>
      <c r="F127" s="217">
        <f>('Irr Triticale Silage'!G$46+(C127-C$127)*('Irr Triticale Silage'!$D$24))/C127</f>
        <v>41.957844896940294</v>
      </c>
      <c r="G127" s="219">
        <f>('Irr Triticale Silage'!F$60+(B127-B$127)*('Irr Triticale Silage'!$D$24))/B127</f>
        <v>47.382743592294119</v>
      </c>
      <c r="H127" s="219">
        <f>('Irr Triticale Silage'!G$60+(C127-C$127)*('Irr Triticale Silage'!$D$24))/C127</f>
        <v>55.080232956641787</v>
      </c>
      <c r="I127" s="219">
        <f>IF($D127=0,"N/A",('Irr Triticale Silage'!H$60+(D127-D$127)*('Irr Triticale Silage'!$D$24))/D127)</f>
        <v>31.441171818181815</v>
      </c>
    </row>
    <row r="128" spans="1:9" x14ac:dyDescent="0.25">
      <c r="A128" s="213">
        <v>1.1000000000000001</v>
      </c>
      <c r="B128" s="214">
        <f>'Irr Triticale Silage'!$B$9*$A128</f>
        <v>11</v>
      </c>
      <c r="C128" s="134">
        <f>'Irr Triticale Silage'!$B$9*(1-'Irr Triticale Silage'!$E$9)*$A128</f>
        <v>7.37</v>
      </c>
      <c r="D128" s="134">
        <f>'Irr Triticale Silage'!$B$9*'Irr Triticale Silage'!$E$9*$A128</f>
        <v>3.6300000000000008</v>
      </c>
      <c r="E128" s="217">
        <f>('Irr Triticale Silage'!F$46+(B128-B$127)*('Irr Triticale Silage'!$D$24))/B128</f>
        <v>29.355221447540103</v>
      </c>
      <c r="F128" s="217">
        <f>('Irr Triticale Silage'!G$46+(C128-C$127)*('Irr Triticale Silage'!$D$24))/C128</f>
        <v>38.961677179036627</v>
      </c>
      <c r="G128" s="219">
        <f>('Irr Triticale Silage'!F$60+(B128-B$127)*('Irr Triticale Silage'!$D$24))/B128</f>
        <v>43.893403265721922</v>
      </c>
      <c r="H128" s="219">
        <f>('Irr Triticale Silage'!G$60+(C128-C$127)*('Irr Triticale Silage'!$D$24))/C128</f>
        <v>50.891120869674353</v>
      </c>
      <c r="I128" s="219">
        <f>IF($D128=0,"N/A",('Irr Triticale Silage'!H$60+(D128-D$127)*('Irr Triticale Silage'!$D$24))/D128)</f>
        <v>29.401065289256191</v>
      </c>
    </row>
    <row r="129" spans="1:9" x14ac:dyDescent="0.25">
      <c r="A129" s="213">
        <v>1.25</v>
      </c>
      <c r="B129" s="214">
        <f>'Irr Triticale Silage'!$B$9*$A129</f>
        <v>12.5</v>
      </c>
      <c r="C129" s="134">
        <f>'Irr Triticale Silage'!$B$9*(1-'Irr Triticale Silage'!$E$9)*$A129</f>
        <v>8.375</v>
      </c>
      <c r="D129" s="134">
        <f>'Irr Triticale Silage'!$B$9*'Irr Triticale Silage'!$E$9*$A129</f>
        <v>4.125</v>
      </c>
      <c r="E129" s="217">
        <f>('Irr Triticale Silage'!F$46+(B129-B$127)*('Irr Triticale Silage'!$D$24))/B129</f>
        <v>26.912594873835292</v>
      </c>
      <c r="F129" s="217">
        <f>('Irr Triticale Silage'!G$46+(C129-C$127)*('Irr Triticale Silage'!$D$24))/C129</f>
        <v>35.36627591755223</v>
      </c>
      <c r="G129" s="219">
        <f>('Irr Triticale Silage'!F$60+(B129-B$127)*('Irr Triticale Silage'!$D$24))/B129</f>
        <v>39.706194873835294</v>
      </c>
      <c r="H129" s="219">
        <f>('Irr Triticale Silage'!G$60+(C129-C$127)*('Irr Triticale Silage'!$D$24))/C129</f>
        <v>45.864186365313422</v>
      </c>
      <c r="I129" s="219">
        <f>IF($D129=0,"N/A",('Irr Triticale Silage'!H$60+(D129-D$127)*('Irr Triticale Silage'!$D$24))/D129)</f>
        <v>26.952937454545452</v>
      </c>
    </row>
    <row r="130" spans="1:9" x14ac:dyDescent="0.25">
      <c r="A130" s="110"/>
      <c r="B130" s="110"/>
    </row>
    <row r="131" spans="1:9" ht="13.35" customHeight="1" x14ac:dyDescent="0.25">
      <c r="A131" s="325" t="str">
        <f>'Irr Wheat'!A3:H3</f>
        <v>Irrigated Wheat</v>
      </c>
      <c r="B131" s="325"/>
      <c r="C131" s="325"/>
      <c r="D131" s="325"/>
      <c r="E131" s="325"/>
      <c r="F131" s="325"/>
      <c r="G131" s="325"/>
      <c r="H131" s="325"/>
      <c r="I131" s="325"/>
    </row>
    <row r="132" spans="1:9" ht="28.5" customHeight="1" x14ac:dyDescent="0.25">
      <c r="A132" s="278"/>
      <c r="B132" s="278"/>
      <c r="C132" s="279"/>
      <c r="D132" s="279"/>
      <c r="E132" s="326" t="s">
        <v>220</v>
      </c>
      <c r="F132" s="327"/>
      <c r="G132" s="328" t="s">
        <v>221</v>
      </c>
      <c r="H132" s="329"/>
      <c r="I132" s="329"/>
    </row>
    <row r="133" spans="1:9" ht="13.35" customHeight="1" x14ac:dyDescent="0.25">
      <c r="A133" s="211" t="s">
        <v>153</v>
      </c>
      <c r="B133" s="212" t="s">
        <v>154</v>
      </c>
      <c r="C133" s="127"/>
      <c r="D133" s="127"/>
      <c r="E133" s="216" t="s">
        <v>56</v>
      </c>
      <c r="F133" s="216" t="s">
        <v>52</v>
      </c>
      <c r="G133" s="218" t="s">
        <v>56</v>
      </c>
      <c r="H133" s="218" t="s">
        <v>52</v>
      </c>
      <c r="I133" s="218" t="s">
        <v>53</v>
      </c>
    </row>
    <row r="134" spans="1:9" ht="13.35" customHeight="1" x14ac:dyDescent="0.25">
      <c r="A134" s="213">
        <v>0.75</v>
      </c>
      <c r="B134" s="214">
        <f>'Irr Wheat'!$B$9*$A134</f>
        <v>37.5</v>
      </c>
      <c r="C134" s="134">
        <f>'Irr Wheat'!$B$9*(1-'Irr Wheat'!$E$9)*$A134</f>
        <v>25.125</v>
      </c>
      <c r="D134" s="134">
        <f>'Irr Wheat'!$B$9*'Irr Wheat'!$E$9*$A134</f>
        <v>12.375</v>
      </c>
      <c r="E134" s="217">
        <f>('Irr Wheat'!$F$47-'Irr Wheat'!$F$10+($B134-$B$136)*'Irr Wheat'!$D$25)/$B134</f>
        <v>5.8316843290044433</v>
      </c>
      <c r="F134" s="217">
        <f>('Irr Wheat'!$G$47-'Irr Wheat'!$G$10+($C134-$C$136)*'Irr Wheat'!$D$25)/$C134</f>
        <v>7.7056478821899494</v>
      </c>
      <c r="G134" s="219">
        <f>('Irr Wheat'!$F$61-'Irr Wheat'!$F$10+($B134-$B$136)*'Irr Wheat'!$D$25)/$B134</f>
        <v>10.096217662337777</v>
      </c>
      <c r="H134" s="219">
        <f>('Irr Wheat'!$G$61-'Irr Wheat'!$G$10+($C134-$C$136)*'Irr Wheat'!$D$25)/$C134</f>
        <v>11.204951364777017</v>
      </c>
      <c r="I134" s="219">
        <f>IF($D134=0, "N/A", ('Irr Wheat'!$H$61-'Irr Wheat'!$H$10+($D134-$D$136)*'Irr Wheat'!$D$25)/$D134)</f>
        <v>7.7210421306818198</v>
      </c>
    </row>
    <row r="135" spans="1:9" ht="13.35" customHeight="1" x14ac:dyDescent="0.25">
      <c r="A135" s="213">
        <v>0.9</v>
      </c>
      <c r="B135" s="214">
        <f>'Irr Wheat'!$B$9*$A135</f>
        <v>45</v>
      </c>
      <c r="C135" s="134">
        <f>'Irr Wheat'!$B$9*(1-'Irr Wheat'!$E$9)*$A135</f>
        <v>30.150000000000002</v>
      </c>
      <c r="D135" s="134">
        <f>'Irr Wheat'!$B$9*'Irr Wheat'!$E$9*$A135</f>
        <v>14.85</v>
      </c>
      <c r="E135" s="217">
        <f>('Irr Wheat'!$F$47-'Irr Wheat'!$F$10+($B135-$B$136)*'Irr Wheat'!$D$25)/$B135</f>
        <v>4.9597369408370362</v>
      </c>
      <c r="F135" s="217">
        <f>('Irr Wheat'!$G$47-'Irr Wheat'!$G$10+($C135-$C$136)*'Irr Wheat'!$D$25)/$C135</f>
        <v>6.5213732351582907</v>
      </c>
      <c r="G135" s="219">
        <f>('Irr Wheat'!$F$61-'Irr Wheat'!$F$10+($B135-$B$136)*'Irr Wheat'!$D$25)/$B135</f>
        <v>8.5135147186148128</v>
      </c>
      <c r="H135" s="219">
        <f>('Irr Wheat'!$G$61-'Irr Wheat'!$G$10+($C135-$C$136)*'Irr Wheat'!$D$25)/$C135</f>
        <v>9.4374594706475126</v>
      </c>
      <c r="I135" s="219">
        <f>IF($D135=0, "N/A", ('Irr Wheat'!$H$61-'Irr Wheat'!$H$10+($D135-$D$136)*'Irr Wheat'!$D$25)/$D135)</f>
        <v>6.5342017755681834</v>
      </c>
    </row>
    <row r="136" spans="1:9" ht="13.35" customHeight="1" x14ac:dyDescent="0.25">
      <c r="A136" s="215">
        <v>1</v>
      </c>
      <c r="B136" s="214">
        <f>'Irr Wheat'!$B$9*$A136</f>
        <v>50</v>
      </c>
      <c r="C136" s="134">
        <f>'Irr Wheat'!$B$9*(1-'Irr Wheat'!$E$9)*$A136</f>
        <v>33.5</v>
      </c>
      <c r="D136" s="134">
        <f>'Irr Wheat'!$B$9*'Irr Wheat'!$E$9*$A136</f>
        <v>16.5</v>
      </c>
      <c r="E136" s="217">
        <f>('Irr Wheat'!$F$47-'Irr Wheat'!$F$10+($B136-$B$136)*'Irr Wheat'!$D$25)/$B136</f>
        <v>4.5237632467533322</v>
      </c>
      <c r="F136" s="217">
        <f>('Irr Wheat'!$G$47-'Irr Wheat'!$G$10+($C136-$C$136)*'Irr Wheat'!$D$25)/$C136</f>
        <v>5.9292359116424622</v>
      </c>
      <c r="G136" s="219">
        <f>('Irr Wheat'!$F$61-'Irr Wheat'!$F$10+($B136-$B$136)*'Irr Wheat'!$D$25)/$B136</f>
        <v>7.7221632467533325</v>
      </c>
      <c r="H136" s="219">
        <f>('Irr Wheat'!$G$61-'Irr Wheat'!$G$10+($C136-$C$136)*'Irr Wheat'!$D$25)/$C136</f>
        <v>8.5537135235827613</v>
      </c>
      <c r="I136" s="219">
        <f>IF($D136=0, "N/A", ('Irr Wheat'!$H$61-'Irr Wheat'!$H$10+($D136-$D$136)*'Irr Wheat'!$D$25)/$D136)</f>
        <v>5.9407815980113643</v>
      </c>
    </row>
    <row r="137" spans="1:9" ht="13.35" customHeight="1" x14ac:dyDescent="0.25">
      <c r="A137" s="213">
        <v>1.1000000000000001</v>
      </c>
      <c r="B137" s="214">
        <f>'Irr Wheat'!$B$9*$A137</f>
        <v>55.000000000000007</v>
      </c>
      <c r="C137" s="134">
        <f>'Irr Wheat'!$B$9*(1-'Irr Wheat'!$E$9)*$A137</f>
        <v>36.85</v>
      </c>
      <c r="D137" s="134">
        <f>'Irr Wheat'!$B$9*'Irr Wheat'!$E$9*$A137</f>
        <v>18.150000000000002</v>
      </c>
      <c r="E137" s="217">
        <f>('Irr Wheat'!$F$47-'Irr Wheat'!$F$10+($B137-$B$136)*'Irr Wheat'!$D$25)/$B137</f>
        <v>4.1670574970484839</v>
      </c>
      <c r="F137" s="217">
        <f>('Irr Wheat'!$G$47-'Irr Wheat'!$G$10+($C137-$C$136)*'Irr Wheat'!$D$25)/$C137</f>
        <v>5.444759919674965</v>
      </c>
      <c r="G137" s="219">
        <f>('Irr Wheat'!$F$61-'Irr Wheat'!$F$10+($B137-$B$136)*'Irr Wheat'!$D$25)/$B137</f>
        <v>7.0746938606848468</v>
      </c>
      <c r="H137" s="219">
        <f>('Irr Wheat'!$G$61-'Irr Wheat'!$G$10+($C137-$C$136)*'Irr Wheat'!$D$25)/$C137</f>
        <v>7.8306486578025103</v>
      </c>
      <c r="I137" s="219">
        <f>IF($D137=0, "N/A", ('Irr Wheat'!$H$61-'Irr Wheat'!$H$10+($D137-$D$136)*'Irr Wheat'!$D$25)/$D137)</f>
        <v>5.4552559981921487</v>
      </c>
    </row>
    <row r="138" spans="1:9" ht="13.35" customHeight="1" x14ac:dyDescent="0.25">
      <c r="A138" s="213">
        <v>1.25</v>
      </c>
      <c r="B138" s="214">
        <f>'Irr Wheat'!$B$9*$A138</f>
        <v>62.5</v>
      </c>
      <c r="C138" s="134">
        <f>'Irr Wheat'!$B$9*(1-'Irr Wheat'!$E$9)*$A138</f>
        <v>41.875</v>
      </c>
      <c r="D138" s="134">
        <f>'Irr Wheat'!$B$9*'Irr Wheat'!$E$9*$A138</f>
        <v>20.625</v>
      </c>
      <c r="E138" s="217">
        <f>('Irr Wheat'!$F$47-'Irr Wheat'!$F$10+($B138-$B$136)*'Irr Wheat'!$D$25)/$B138</f>
        <v>3.7390105974026659</v>
      </c>
      <c r="F138" s="217">
        <f>('Irr Wheat'!$G$47-'Irr Wheat'!$G$10+($C138-$C$136)*'Irr Wheat'!$D$25)/$C138</f>
        <v>4.8633887293139697</v>
      </c>
      <c r="G138" s="219">
        <f>('Irr Wheat'!$F$61-'Irr Wheat'!$F$10+($B138-$B$136)*'Irr Wheat'!$D$25)/$B138</f>
        <v>6.2977305974026656</v>
      </c>
      <c r="H138" s="219">
        <f>('Irr Wheat'!$G$61-'Irr Wheat'!$G$10+($C138-$C$136)*'Irr Wheat'!$D$25)/$C138</f>
        <v>6.9629708188662089</v>
      </c>
      <c r="I138" s="219">
        <f>IF($D138=0, "N/A", ('Irr Wheat'!$H$61-'Irr Wheat'!$H$10+($D138-$D$136)*'Irr Wheat'!$D$25)/$D138)</f>
        <v>4.8726252784090915</v>
      </c>
    </row>
    <row r="139" spans="1:9" ht="13.35" customHeight="1" x14ac:dyDescent="0.25">
      <c r="A139" s="110"/>
      <c r="B139" s="110"/>
    </row>
    <row r="140" spans="1:9" ht="13.35" customHeight="1" x14ac:dyDescent="0.25">
      <c r="A140" s="325" t="str">
        <f>'Irr Other Crop'!A3:H3</f>
        <v>Irrigated Other Crop</v>
      </c>
      <c r="B140" s="325"/>
      <c r="C140" s="325"/>
      <c r="D140" s="325"/>
      <c r="E140" s="325"/>
      <c r="F140" s="325"/>
      <c r="G140" s="325"/>
      <c r="H140" s="325"/>
      <c r="I140" s="325"/>
    </row>
    <row r="141" spans="1:9" ht="28.5" customHeight="1" x14ac:dyDescent="0.25">
      <c r="A141" s="278"/>
      <c r="B141" s="278"/>
      <c r="C141" s="279"/>
      <c r="D141" s="279"/>
      <c r="E141" s="326" t="s">
        <v>220</v>
      </c>
      <c r="F141" s="327"/>
      <c r="G141" s="328" t="s">
        <v>221</v>
      </c>
      <c r="H141" s="329"/>
      <c r="I141" s="329"/>
    </row>
    <row r="142" spans="1:9" ht="13.35" customHeight="1" x14ac:dyDescent="0.25">
      <c r="A142" s="211" t="s">
        <v>153</v>
      </c>
      <c r="B142" s="292" t="s">
        <v>252</v>
      </c>
      <c r="C142" s="127"/>
      <c r="D142" s="127"/>
      <c r="E142" s="216" t="s">
        <v>56</v>
      </c>
      <c r="F142" s="216" t="s">
        <v>52</v>
      </c>
      <c r="G142" s="218" t="s">
        <v>56</v>
      </c>
      <c r="H142" s="218" t="s">
        <v>52</v>
      </c>
      <c r="I142" s="218" t="s">
        <v>53</v>
      </c>
    </row>
    <row r="143" spans="1:9" ht="13.35" customHeight="1" x14ac:dyDescent="0.25">
      <c r="A143" s="213">
        <v>0.75</v>
      </c>
      <c r="B143" s="214">
        <f>'Irr Other Crop'!$B$9*$A143</f>
        <v>0</v>
      </c>
      <c r="C143" s="134">
        <f>'Irr Other Crop'!$B$9*(1-'Irr Other Crop'!$E$9)*$A143</f>
        <v>0</v>
      </c>
      <c r="D143" s="134">
        <f>'Irr Other Crop'!$B$9*'Irr Other Crop'!$E$9*$A143</f>
        <v>0</v>
      </c>
      <c r="E143" s="217" t="str">
        <f>IF($B143=0, "N/A", ('Irr Other Crop'!$F$48-'Irr Other Crop'!$F$10+($B143-$B$145)*'Irr Other Crop'!$D$26)/$B143)</f>
        <v>N/A</v>
      </c>
      <c r="F143" s="217" t="str">
        <f>IF($B143=0, "N/A",('Irr Other Crop'!$G$48-'Irr Other Crop'!$G$10+($C143-$C$145)*'Irr Other Crop'!$D$26)/$C143)</f>
        <v>N/A</v>
      </c>
      <c r="G143" s="219" t="str">
        <f>IF($B143=0, "N/A",('Irr Other Crop'!$F$62-'Irr Other Crop'!$F$10+($B143-$B$145)*'Irr Other Crop'!$D$26)/$B143)</f>
        <v>N/A</v>
      </c>
      <c r="H143" s="219" t="str">
        <f>IF($B143=0, "N/A",('Irr Other Crop'!$G$62-'Irr Other Crop'!$G$10+($C143-$C$145)*'Irr Other Crop'!$D$26)/$C143)</f>
        <v>N/A</v>
      </c>
      <c r="I143" s="219" t="str">
        <f>IF($D143=0, "N/A", ('Irr Other Crop'!$H$62-'Irr Other Crop'!$H$10+($D143-$D$145)*'Irr Other Crop'!$D$26)/$D143)</f>
        <v>N/A</v>
      </c>
    </row>
    <row r="144" spans="1:9" ht="13.35" customHeight="1" x14ac:dyDescent="0.25">
      <c r="A144" s="213">
        <v>0.9</v>
      </c>
      <c r="B144" s="214">
        <f>'Irr Other Crop'!$B$9*$A144</f>
        <v>0</v>
      </c>
      <c r="C144" s="134">
        <f>'Irr Other Crop'!$B$9*(1-'Irr Other Crop'!$E$9)*$A144</f>
        <v>0</v>
      </c>
      <c r="D144" s="134">
        <f>'Irr Other Crop'!$B$9*'Irr Other Crop'!$E$9*$A144</f>
        <v>0</v>
      </c>
      <c r="E144" s="217" t="str">
        <f>IF($B144=0, "N/A", ('Irr Other Crop'!$F$48-'Irr Other Crop'!$F$10+($B144-$B$145)*'Irr Other Crop'!$D$26)/$B144)</f>
        <v>N/A</v>
      </c>
      <c r="F144" s="217" t="str">
        <f>IF($B144=0, "N/A",('Irr Other Crop'!$G$48-'Irr Other Crop'!$G$10+($C144-$C$145)*'Irr Other Crop'!$D$26)/$C144)</f>
        <v>N/A</v>
      </c>
      <c r="G144" s="219" t="str">
        <f>IF($B144=0, "N/A",('Irr Other Crop'!$F$62-'Irr Other Crop'!$F$10+($B144-$B$145)*'Irr Other Crop'!$D$26)/$B144)</f>
        <v>N/A</v>
      </c>
      <c r="H144" s="219" t="str">
        <f>IF($B144=0, "N/A",('Irr Other Crop'!$G$62-'Irr Other Crop'!$G$10+($C144-$C$145)*'Irr Other Crop'!$D$26)/$C144)</f>
        <v>N/A</v>
      </c>
      <c r="I144" s="219" t="str">
        <f>IF($D144=0, "N/A", ('Irr Other Crop'!$H$62-'Irr Other Crop'!$H$10+($D144-$D$145)*'Irr Other Crop'!$D$26)/$D144)</f>
        <v>N/A</v>
      </c>
    </row>
    <row r="145" spans="1:9" ht="13.35" customHeight="1" x14ac:dyDescent="0.25">
      <c r="A145" s="215">
        <v>1</v>
      </c>
      <c r="B145" s="214">
        <f>'Irr Other Crop'!$B$9*$A145</f>
        <v>0</v>
      </c>
      <c r="C145" s="134">
        <f>'Irr Other Crop'!$B$9*(1-'Irr Other Crop'!$E$9)*$A145</f>
        <v>0</v>
      </c>
      <c r="D145" s="134">
        <f>'Irr Other Crop'!$B$9*'Irr Other Crop'!$E$9*$A145</f>
        <v>0</v>
      </c>
      <c r="E145" s="217" t="str">
        <f>IF($B145=0, "N/A", ('Irr Other Crop'!$F$48-'Irr Other Crop'!$F$10+($B145-$B$145)*'Irr Other Crop'!$D$26)/$B145)</f>
        <v>N/A</v>
      </c>
      <c r="F145" s="217" t="str">
        <f>IF($B145=0, "N/A",('Irr Other Crop'!$G$48-'Irr Other Crop'!$G$10+($C145-$C$145)*'Irr Other Crop'!$D$26)/$C145)</f>
        <v>N/A</v>
      </c>
      <c r="G145" s="219" t="str">
        <f>IF($B145=0, "N/A",('Irr Other Crop'!$F$62-'Irr Other Crop'!$F$10+($B145-$B$145)*'Irr Other Crop'!$D$26)/$B145)</f>
        <v>N/A</v>
      </c>
      <c r="H145" s="219" t="str">
        <f>IF($B145=0, "N/A",('Irr Other Crop'!$G$62-'Irr Other Crop'!$G$10+($C145-$C$145)*'Irr Other Crop'!$D$26)/$C145)</f>
        <v>N/A</v>
      </c>
      <c r="I145" s="219" t="str">
        <f>IF($D145=0, "N/A", ('Irr Other Crop'!$H$62-'Irr Other Crop'!$H$10+($D145-$D$145)*'Irr Other Crop'!$D$26)/$D145)</f>
        <v>N/A</v>
      </c>
    </row>
    <row r="146" spans="1:9" ht="13.35" customHeight="1" x14ac:dyDescent="0.25">
      <c r="A146" s="213">
        <v>1.1000000000000001</v>
      </c>
      <c r="B146" s="214">
        <f>'Irr Other Crop'!$B$9*$A146</f>
        <v>0</v>
      </c>
      <c r="C146" s="134">
        <f>'Irr Other Crop'!$B$9*(1-'Irr Other Crop'!$E$9)*$A146</f>
        <v>0</v>
      </c>
      <c r="D146" s="134">
        <f>'Irr Other Crop'!$B$9*'Irr Other Crop'!$E$9*$A146</f>
        <v>0</v>
      </c>
      <c r="E146" s="217" t="str">
        <f>IF($B146=0, "N/A", ('Irr Other Crop'!$F$48-'Irr Other Crop'!$F$10+($B146-$B$145)*'Irr Other Crop'!$D$26)/$B146)</f>
        <v>N/A</v>
      </c>
      <c r="F146" s="217" t="str">
        <f>IF($B146=0, "N/A",('Irr Other Crop'!$G$48-'Irr Other Crop'!$G$10+($C146-$C$145)*'Irr Other Crop'!$D$26)/$C146)</f>
        <v>N/A</v>
      </c>
      <c r="G146" s="219" t="str">
        <f>IF($B146=0, "N/A",('Irr Other Crop'!$F$62-'Irr Other Crop'!$F$10+($B146-$B$145)*'Irr Other Crop'!$D$26)/$B146)</f>
        <v>N/A</v>
      </c>
      <c r="H146" s="219" t="str">
        <f>IF($B146=0, "N/A",('Irr Other Crop'!$G$62-'Irr Other Crop'!$G$10+($C146-$C$145)*'Irr Other Crop'!$D$26)/$C146)</f>
        <v>N/A</v>
      </c>
      <c r="I146" s="219" t="str">
        <f>IF($D146=0, "N/A", ('Irr Other Crop'!$H$62-'Irr Other Crop'!$H$10+($D146-$D$145)*'Irr Other Crop'!$D$26)/$D146)</f>
        <v>N/A</v>
      </c>
    </row>
    <row r="147" spans="1:9" x14ac:dyDescent="0.25">
      <c r="A147" s="213">
        <v>1.25</v>
      </c>
      <c r="B147" s="214">
        <f>'Irr Other Crop'!$B$9*$A147</f>
        <v>0</v>
      </c>
      <c r="C147" s="134">
        <f>'Irr Other Crop'!$B$9*(1-'Irr Other Crop'!$E$9)*$A147</f>
        <v>0</v>
      </c>
      <c r="D147" s="134">
        <f>'Irr Other Crop'!$B$9*'Irr Other Crop'!$E$9*$A147</f>
        <v>0</v>
      </c>
      <c r="E147" s="217" t="str">
        <f>IF($B147=0, "N/A", ('Irr Other Crop'!$F$48-'Irr Other Crop'!$F$10+($B147-$B$145)*'Irr Other Crop'!$D$26)/$B147)</f>
        <v>N/A</v>
      </c>
      <c r="F147" s="217" t="str">
        <f>IF($B147=0, "N/A",('Irr Other Crop'!$G$48-'Irr Other Crop'!$G$10+($C147-$C$145)*'Irr Other Crop'!$D$26)/$C147)</f>
        <v>N/A</v>
      </c>
      <c r="G147" s="219" t="str">
        <f>IF($B147=0, "N/A",('Irr Other Crop'!$F$62-'Irr Other Crop'!$F$10+($B147-$B$145)*'Irr Other Crop'!$D$26)/$B147)</f>
        <v>N/A</v>
      </c>
      <c r="H147" s="219" t="str">
        <f>IF($B147=0, "N/A",('Irr Other Crop'!$G$62-'Irr Other Crop'!$G$10+($C147-$C$145)*'Irr Other Crop'!$D$26)/$C147)</f>
        <v>N/A</v>
      </c>
      <c r="I147" s="219" t="str">
        <f>IF($D147=0, "N/A", ('Irr Other Crop'!$H$62-'Irr Other Crop'!$H$10+($D147-$D$145)*'Irr Other Crop'!$D$26)/$D147)</f>
        <v>N/A</v>
      </c>
    </row>
    <row r="148" spans="1:9" ht="13.35" customHeight="1" x14ac:dyDescent="0.25">
      <c r="A148" s="110"/>
      <c r="B148" s="110"/>
    </row>
    <row r="149" spans="1:9" ht="13.35" customHeight="1" x14ac:dyDescent="0.25">
      <c r="A149" s="325" t="str">
        <f>'Dry Canola'!$A$3:$H$3</f>
        <v>Dryland Canola</v>
      </c>
      <c r="B149" s="325"/>
      <c r="C149" s="325"/>
      <c r="D149" s="325"/>
      <c r="E149" s="325"/>
      <c r="F149" s="325"/>
      <c r="G149" s="325"/>
      <c r="H149" s="325"/>
      <c r="I149" s="325"/>
    </row>
    <row r="150" spans="1:9" ht="28.5" customHeight="1" x14ac:dyDescent="0.25">
      <c r="A150" s="278"/>
      <c r="B150" s="278"/>
      <c r="C150" s="279"/>
      <c r="D150" s="279"/>
      <c r="E150" s="326" t="s">
        <v>220</v>
      </c>
      <c r="F150" s="327"/>
      <c r="G150" s="328" t="s">
        <v>221</v>
      </c>
      <c r="H150" s="329"/>
      <c r="I150" s="329"/>
    </row>
    <row r="151" spans="1:9" ht="13.35" customHeight="1" x14ac:dyDescent="0.25">
      <c r="A151" s="211" t="s">
        <v>153</v>
      </c>
      <c r="B151" s="292" t="s">
        <v>152</v>
      </c>
      <c r="C151" s="127"/>
      <c r="D151" s="127"/>
      <c r="E151" s="216" t="s">
        <v>56</v>
      </c>
      <c r="F151" s="216" t="s">
        <v>52</v>
      </c>
      <c r="G151" s="218" t="s">
        <v>56</v>
      </c>
      <c r="H151" s="218" t="s">
        <v>52</v>
      </c>
      <c r="I151" s="218" t="s">
        <v>53</v>
      </c>
    </row>
    <row r="152" spans="1:9" ht="13.35" customHeight="1" x14ac:dyDescent="0.25">
      <c r="A152" s="213">
        <v>0.75</v>
      </c>
      <c r="B152" s="214">
        <f>'Dry Canola'!$B$9*$A152</f>
        <v>8.25</v>
      </c>
      <c r="C152" s="134">
        <f>'Dry Canola'!$B$9*(1-'Dry Canola'!$E$9)*$A152</f>
        <v>5.5274999999999999</v>
      </c>
      <c r="D152" s="134">
        <f>'Dry Canola'!$B$9*'Dry Canola'!$E$9*$A152</f>
        <v>2.7225000000000001</v>
      </c>
      <c r="E152" s="217">
        <f>('Dry Canola'!$F$45+($B152-B$154)*'Dry Canola'!$D$27)/$B152</f>
        <v>17.956413495741028</v>
      </c>
      <c r="F152" s="217">
        <f>('Dry Canola'!$G$45+($C152-C$154)*'Dry Canola'!$D$27)/$C152</f>
        <v>24.333571547412145</v>
      </c>
      <c r="G152" s="219">
        <f>('Dry Canola'!$F$59+($B152-B$154)*'Dry Canola'!$D$27)/$B152</f>
        <v>24.403686223013754</v>
      </c>
      <c r="H152" s="219">
        <f>('Dry Canola'!$G$59+($C152-C$154)*'Dry Canola'!$D$27)/$C152</f>
        <v>29.162155898384555</v>
      </c>
      <c r="I152" s="219">
        <f>IF($D152=0, "N/A", ('Dry Canola'!$H$59+($D152-D$154)*'Dry Canola'!$D$27)/$D152)</f>
        <v>14.614782856230287</v>
      </c>
    </row>
    <row r="153" spans="1:9" ht="13.35" customHeight="1" x14ac:dyDescent="0.25">
      <c r="A153" s="213">
        <v>0.9</v>
      </c>
      <c r="B153" s="214">
        <f>'Dry Canola'!$B$9*$A153</f>
        <v>9.9</v>
      </c>
      <c r="C153" s="134">
        <f>'Dry Canola'!$B$9*(1-'Dry Canola'!$E$9)*$A153</f>
        <v>6.6329999999999991</v>
      </c>
      <c r="D153" s="134">
        <f>'Dry Canola'!$B$9*'Dry Canola'!$E$9*$A153</f>
        <v>3.2670000000000003</v>
      </c>
      <c r="E153" s="217">
        <f>('Dry Canola'!$F$45+($B153-B$154)*'Dry Canola'!$D$27)/$B153</f>
        <v>15.038677913117523</v>
      </c>
      <c r="F153" s="217">
        <f>('Dry Canola'!$G$45+($C153-C$154)*'Dry Canola'!$D$27)/$C153</f>
        <v>20.352976289510124</v>
      </c>
      <c r="G153" s="219">
        <f>('Dry Canola'!$F$59+($B153-B$154)*'Dry Canola'!$D$27)/$B153</f>
        <v>20.411405185844796</v>
      </c>
      <c r="H153" s="219">
        <f>('Dry Canola'!$G$59+($C153-C$154)*'Dry Canola'!$D$27)/$C153</f>
        <v>24.376796581987133</v>
      </c>
      <c r="I153" s="219">
        <f>IF($D153=0, "N/A", ('Dry Canola'!$H$59+($D153-D$154)*'Dry Canola'!$D$27)/$D153)</f>
        <v>12.253985713525237</v>
      </c>
    </row>
    <row r="154" spans="1:9" ht="13.35" customHeight="1" x14ac:dyDescent="0.25">
      <c r="A154" s="215">
        <v>1</v>
      </c>
      <c r="B154" s="214">
        <f>'Dry Canola'!$B$9*$A154</f>
        <v>11</v>
      </c>
      <c r="C154" s="134">
        <f>'Dry Canola'!$B$9*(1-'Dry Canola'!$E$9)*$A154</f>
        <v>7.3699999999999992</v>
      </c>
      <c r="D154" s="134">
        <f>'Dry Canola'!$B$9*'Dry Canola'!$E$9*$A154</f>
        <v>3.6300000000000003</v>
      </c>
      <c r="E154" s="217">
        <f>('Dry Canola'!$F$45+($B154-B$154)*'Dry Canola'!$D$27)/$B154</f>
        <v>13.579810121805771</v>
      </c>
      <c r="F154" s="217">
        <f>('Dry Canola'!$G$45+($C154-C$154)*'Dry Canola'!$D$27)/$C154</f>
        <v>18.362678660559112</v>
      </c>
      <c r="G154" s="219">
        <f>('Dry Canola'!$F$59+($B154-B$154)*'Dry Canola'!$D$27)/$B154</f>
        <v>18.415264667260317</v>
      </c>
      <c r="H154" s="219">
        <f>('Dry Canola'!$G$59+($C154-C$154)*'Dry Canola'!$D$27)/$C154</f>
        <v>21.98411692378842</v>
      </c>
      <c r="I154" s="219">
        <f>IF($D154=0, "N/A", ('Dry Canola'!$H$59+($D154-D$154)*'Dry Canola'!$D$27)/$D154)</f>
        <v>11.073587142172714</v>
      </c>
    </row>
    <row r="155" spans="1:9" ht="13.35" customHeight="1" x14ac:dyDescent="0.25">
      <c r="A155" s="213">
        <v>1.1000000000000001</v>
      </c>
      <c r="B155" s="214">
        <f>'Dry Canola'!$B$9*$A155</f>
        <v>12.100000000000001</v>
      </c>
      <c r="C155" s="134">
        <f>'Dry Canola'!$B$9*(1-'Dry Canola'!$E$9)*$A155</f>
        <v>8.1069999999999993</v>
      </c>
      <c r="D155" s="134">
        <f>'Dry Canola'!$B$9*'Dry Canola'!$E$9*$A155</f>
        <v>3.9930000000000008</v>
      </c>
      <c r="E155" s="217">
        <f>('Dry Canola'!$F$45+($B155-B$154)*'Dry Canola'!$D$27)/$B155</f>
        <v>12.386191019823428</v>
      </c>
      <c r="F155" s="217">
        <f>('Dry Canola'!$G$45+($C155-C$154)*'Dry Canola'!$D$27)/$C155</f>
        <v>16.734253327781008</v>
      </c>
      <c r="G155" s="219">
        <f>('Dry Canola'!$F$59+($B155-B$154)*'Dry Canola'!$D$27)/$B155</f>
        <v>16.782058788418468</v>
      </c>
      <c r="H155" s="219">
        <f>('Dry Canola'!$G$59+($C155-C$154)*'Dry Canola'!$D$27)/$C155</f>
        <v>20.026469930716743</v>
      </c>
      <c r="I155" s="219">
        <f>IF($D155=0, "N/A", ('Dry Canola'!$H$59+($D155-D$154)*'Dry Canola'!$D$27)/$D155)</f>
        <v>10.107806492884285</v>
      </c>
    </row>
    <row r="156" spans="1:9" ht="13.35" customHeight="1" x14ac:dyDescent="0.25">
      <c r="A156" s="213">
        <v>1.25</v>
      </c>
      <c r="B156" s="214">
        <f>'Dry Canola'!$B$9*$A156</f>
        <v>13.75</v>
      </c>
      <c r="C156" s="134">
        <f>'Dry Canola'!$B$9*(1-'Dry Canola'!$E$9)*$A156</f>
        <v>9.2124999999999986</v>
      </c>
      <c r="D156" s="134">
        <f>'Dry Canola'!$B$9*'Dry Canola'!$E$9*$A156</f>
        <v>4.5375000000000005</v>
      </c>
      <c r="E156" s="217">
        <f>('Dry Canola'!$F$45+($B156-B$154)*'Dry Canola'!$D$27)/$B156</f>
        <v>10.953848097444618</v>
      </c>
      <c r="F156" s="217">
        <f>('Dry Canola'!$G$45+($C156-C$154)*'Dry Canola'!$D$27)/$C156</f>
        <v>14.78014292844729</v>
      </c>
      <c r="G156" s="219">
        <f>('Dry Canola'!$F$59+($B156-B$154)*'Dry Canola'!$D$27)/$B156</f>
        <v>14.822211733808254</v>
      </c>
      <c r="H156" s="219">
        <f>('Dry Canola'!$G$59+($C156-C$154)*'Dry Canola'!$D$27)/$C156</f>
        <v>17.677293539030735</v>
      </c>
      <c r="I156" s="219">
        <f>IF($D156=0, "N/A", ('Dry Canola'!$H$59+($D156-D$154)*'Dry Canola'!$D$27)/$D156)</f>
        <v>8.948869713738171</v>
      </c>
    </row>
    <row r="157" spans="1:9" ht="13.35" customHeight="1" x14ac:dyDescent="0.25">
      <c r="A157" s="110"/>
      <c r="B157" s="110"/>
    </row>
    <row r="158" spans="1:9" ht="13.35" customHeight="1" x14ac:dyDescent="0.25">
      <c r="A158" s="325" t="str">
        <f>'Dry Cotton'!$A$3:$H$3</f>
        <v>Dryland Cotton</v>
      </c>
      <c r="B158" s="325"/>
      <c r="C158" s="325"/>
      <c r="D158" s="325"/>
      <c r="E158" s="325"/>
      <c r="F158" s="325"/>
      <c r="G158" s="325"/>
      <c r="H158" s="325"/>
      <c r="I158" s="325"/>
    </row>
    <row r="159" spans="1:9" ht="28.5" customHeight="1" x14ac:dyDescent="0.25">
      <c r="A159" s="278"/>
      <c r="B159" s="278"/>
      <c r="C159" s="279"/>
      <c r="D159" s="279"/>
      <c r="E159" s="326" t="s">
        <v>220</v>
      </c>
      <c r="F159" s="327"/>
      <c r="G159" s="328" t="s">
        <v>221</v>
      </c>
      <c r="H159" s="329"/>
      <c r="I159" s="329"/>
    </row>
    <row r="160" spans="1:9" ht="13.35" customHeight="1" x14ac:dyDescent="0.25">
      <c r="A160" s="211" t="s">
        <v>153</v>
      </c>
      <c r="B160" s="292" t="s">
        <v>252</v>
      </c>
      <c r="C160" s="127"/>
      <c r="D160" s="127"/>
      <c r="E160" s="216" t="s">
        <v>56</v>
      </c>
      <c r="F160" s="216" t="s">
        <v>52</v>
      </c>
      <c r="G160" s="218" t="s">
        <v>56</v>
      </c>
      <c r="H160" s="218" t="s">
        <v>52</v>
      </c>
      <c r="I160" s="218" t="s">
        <v>53</v>
      </c>
    </row>
    <row r="161" spans="1:9" ht="13.35" customHeight="1" x14ac:dyDescent="0.25">
      <c r="A161" s="213">
        <v>0.75</v>
      </c>
      <c r="B161" s="214">
        <f>'Dry Cotton'!$B$9*$A161</f>
        <v>300</v>
      </c>
      <c r="C161" s="134">
        <f>'Dry Cotton'!$B$9*(1-'Dry Cotton'!$E$9)*$A161</f>
        <v>300</v>
      </c>
      <c r="D161" s="134">
        <f>'Dry Cotton'!$B$9*'Dry Cotton'!$E$9*$A161</f>
        <v>0</v>
      </c>
      <c r="E161" s="217">
        <f>('Dry Cotton'!F$49-B161/500*'Universal Input Prices'!$B$39/2000*Cottonseed_Price+(B161-B$163)/100*'Dry Cotton'!$D$30+(B161-B$163)/'Dry Cotton'!$B$11/100*'Dry Cotton'!$D$31)/B161</f>
        <v>0.74922071479670094</v>
      </c>
      <c r="F161" s="217">
        <f>('Dry Cotton'!G$49-C161/500*'Universal Input Prices'!$B$39/2000*Cottonseed_Price+(C161-C$163)/100*'Dry Cotton'!$D$30+(C161-C$163)/'Dry Cotton'!$B$11/100*'Dry Cotton'!$D$31)/C161</f>
        <v>0.74731646720866474</v>
      </c>
      <c r="G161" s="219">
        <f>('Dry Cotton'!F$63-B161/500*'Universal Input Prices'!$B$39/2000*Cottonseed_Price+(B161-B$163)/100*'Dry Cotton'!$D$30+(B161-B$163)/'Dry Cotton'!$B$11/100*'Dry Cotton'!$D$31)/B161</f>
        <v>0.93788738146336759</v>
      </c>
      <c r="H161" s="219">
        <f>('Dry Cotton'!G$63-C161/500*'Universal Input Prices'!$B$39/2000*Cottonseed_Price+(C161-C$163)/100*'Dry Cotton'!$D$30+(C161-C$163)/'Dry Cotton'!$B$11/100*'Dry Cotton'!$D$31)/C161</f>
        <v>0.93598313387533139</v>
      </c>
      <c r="I161" s="219" t="str">
        <f>IF($D161=0,"N/A",('Dry Cotton'!H$63-D161/500*'Universal Input Prices'!$B$39/2000*Cottonseed_Price+(D161-D$163)/100*'Dry Cotton'!$D$30+(D161-D$163)/'Dry Cotton'!$B$11/100*'Dry Cotton'!$D$31)/D161)</f>
        <v>N/A</v>
      </c>
    </row>
    <row r="162" spans="1:9" ht="13.35" customHeight="1" x14ac:dyDescent="0.25">
      <c r="A162" s="213">
        <v>0.9</v>
      </c>
      <c r="B162" s="214">
        <f>'Dry Cotton'!$B$9*$A162</f>
        <v>360</v>
      </c>
      <c r="C162" s="134">
        <f>'Dry Cotton'!$B$9*(1-'Dry Cotton'!$E$9)*$A162</f>
        <v>360</v>
      </c>
      <c r="D162" s="134">
        <f>'Dry Cotton'!$B$9*'Dry Cotton'!$E$9*$A162</f>
        <v>0</v>
      </c>
      <c r="E162" s="217">
        <f>('Dry Cotton'!F$49-B162/500*'Universal Input Prices'!$B$39/2000*Cottonseed_Price+(B162-B$163)/100*'Dry Cotton'!$D$30+(B162-B$163)/'Dry Cotton'!$B$11/100*'Dry Cotton'!$D$31)/B162</f>
        <v>0.63331099170352134</v>
      </c>
      <c r="F162" s="217">
        <f>('Dry Cotton'!G$49-C162/500*'Universal Input Prices'!$B$39/2000*Cottonseed_Price+(C162-C$163)/100*'Dry Cotton'!$D$30+(C162-C$163)/'Dry Cotton'!$B$11/100*'Dry Cotton'!$D$31)/C162</f>
        <v>0.63172411871349121</v>
      </c>
      <c r="G162" s="219">
        <f>('Dry Cotton'!F$63-B162/500*'Universal Input Prices'!$B$39/2000*Cottonseed_Price+(B162-B$163)/100*'Dry Cotton'!$D$30+(B162-B$163)/'Dry Cotton'!$B$11/100*'Dry Cotton'!$D$31)/B162</f>
        <v>0.79053321392574372</v>
      </c>
      <c r="H162" s="219">
        <f>('Dry Cotton'!G$63-C162/500*'Universal Input Prices'!$B$39/2000*Cottonseed_Price+(C162-C$163)/100*'Dry Cotton'!$D$30+(C162-C$163)/'Dry Cotton'!$B$11/100*'Dry Cotton'!$D$31)/C162</f>
        <v>0.78894634093571359</v>
      </c>
      <c r="I162" s="219" t="str">
        <f>IF($D162=0,"N/A",('Dry Cotton'!H$63-D162/500*'Universal Input Prices'!$B$39/2000*Cottonseed_Price+(D162-D$163)/100*'Dry Cotton'!$D$30+(D162-D$163)/'Dry Cotton'!$B$11/100*'Dry Cotton'!$D$31)/D162)</f>
        <v>N/A</v>
      </c>
    </row>
    <row r="163" spans="1:9" ht="13.35" customHeight="1" x14ac:dyDescent="0.25">
      <c r="A163" s="215">
        <v>1</v>
      </c>
      <c r="B163" s="214">
        <f>'Dry Cotton'!$B$9*$A163</f>
        <v>400</v>
      </c>
      <c r="C163" s="134">
        <f>'Dry Cotton'!$B$9*(1-'Dry Cotton'!$E$9)*$A163</f>
        <v>400</v>
      </c>
      <c r="D163" s="134">
        <f>'Dry Cotton'!$B$9*'Dry Cotton'!$E$9*$A163</f>
        <v>0</v>
      </c>
      <c r="E163" s="217">
        <f>('Dry Cotton'!F$49-B163/500*'Universal Input Prices'!$B$39/2000*Cottonseed_Price+(B163-B$163)/100*'Dry Cotton'!$D$30+(B163-B$163)/'Dry Cotton'!$B$11/100*'Dry Cotton'!$D$31)/B163</f>
        <v>0.57535613015693154</v>
      </c>
      <c r="F163" s="217">
        <f>('Dry Cotton'!G$49-C163/500*'Universal Input Prices'!$B$39/2000*Cottonseed_Price+(C163-C$163)/100*'Dry Cotton'!$D$30+(C163-C$163)/'Dry Cotton'!$B$11/100*'Dry Cotton'!$D$31)/C163</f>
        <v>0.57392794446590445</v>
      </c>
      <c r="G163" s="219">
        <f>('Dry Cotton'!F$63-B163/500*'Universal Input Prices'!$B$39/2000*Cottonseed_Price+(B163-B$163)/100*'Dry Cotton'!$D$30+(B163-B$163)/'Dry Cotton'!$B$11/100*'Dry Cotton'!$D$31)/B163</f>
        <v>0.71685613015693161</v>
      </c>
      <c r="H163" s="219">
        <f>('Dry Cotton'!G$63-C163/500*'Universal Input Prices'!$B$39/2000*Cottonseed_Price+(C163-C$163)/100*'Dry Cotton'!$D$30+(C163-C$163)/'Dry Cotton'!$B$11/100*'Dry Cotton'!$D$31)/C163</f>
        <v>0.71542794446590452</v>
      </c>
      <c r="I163" s="219" t="str">
        <f>IF($D163=0,"N/A",('Dry Cotton'!H$63-D163/500*'Universal Input Prices'!$B$39/2000*Cottonseed_Price+(D163-D$163)/100*'Dry Cotton'!$D$30+(D163-D$163)/'Dry Cotton'!$B$11/100*'Dry Cotton'!$D$31)/D163)</f>
        <v>N/A</v>
      </c>
    </row>
    <row r="164" spans="1:9" ht="13.35" customHeight="1" x14ac:dyDescent="0.25">
      <c r="A164" s="213">
        <v>1.1000000000000001</v>
      </c>
      <c r="B164" s="214">
        <f>'Dry Cotton'!$B$9*$A164</f>
        <v>440.00000000000006</v>
      </c>
      <c r="C164" s="134">
        <f>'Dry Cotton'!$B$9*(1-'Dry Cotton'!$E$9)*$A164</f>
        <v>440.00000000000006</v>
      </c>
      <c r="D164" s="134">
        <f>'Dry Cotton'!$B$9*'Dry Cotton'!$E$9*$A164</f>
        <v>0</v>
      </c>
      <c r="E164" s="217">
        <f>('Dry Cotton'!F$49-B164/500*'Universal Input Prices'!$B$39/2000*Cottonseed_Price+(B164-B$163)/100*'Dry Cotton'!$D$30+(B164-B$163)/'Dry Cotton'!$B$11/100*'Dry Cotton'!$D$31)/B164</f>
        <v>0.52793851616426724</v>
      </c>
      <c r="F164" s="217">
        <f>('Dry Cotton'!G$49-C164/500*'Universal Input Prices'!$B$39/2000*Cottonseed_Price+(C164-C$163)/100*'Dry Cotton'!$D$30+(C164-C$163)/'Dry Cotton'!$B$11/100*'Dry Cotton'!$D$31)/C164</f>
        <v>0.52664016553606074</v>
      </c>
      <c r="G164" s="219">
        <f>('Dry Cotton'!F$63-B164/500*'Universal Input Prices'!$B$39/2000*Cottonseed_Price+(B164-B$163)/100*'Dry Cotton'!$D$30+(B164-B$163)/'Dry Cotton'!$B$11/100*'Dry Cotton'!$D$31)/B164</f>
        <v>0.6565748798006309</v>
      </c>
      <c r="H164" s="219">
        <f>('Dry Cotton'!G$63-C164/500*'Universal Input Prices'!$B$39/2000*Cottonseed_Price+(C164-C$163)/100*'Dry Cotton'!$D$30+(C164-C$163)/'Dry Cotton'!$B$11/100*'Dry Cotton'!$D$31)/C164</f>
        <v>0.6552765291724244</v>
      </c>
      <c r="I164" s="219" t="str">
        <f>IF($D164=0,"N/A",('Dry Cotton'!H$63-D164/500*'Universal Input Prices'!$B$39/2000*Cottonseed_Price+(D164-D$163)/100*'Dry Cotton'!$D$30+(D164-D$163)/'Dry Cotton'!$B$11/100*'Dry Cotton'!$D$31)/D164)</f>
        <v>N/A</v>
      </c>
    </row>
    <row r="165" spans="1:9" ht="13.35" customHeight="1" x14ac:dyDescent="0.25">
      <c r="A165" s="213">
        <v>1.25</v>
      </c>
      <c r="B165" s="214">
        <f>'Dry Cotton'!$B$9*$A165</f>
        <v>500</v>
      </c>
      <c r="C165" s="134">
        <f>'Dry Cotton'!$B$9*(1-'Dry Cotton'!$E$9)*$A165</f>
        <v>500</v>
      </c>
      <c r="D165" s="134">
        <f>'Dry Cotton'!$B$9*'Dry Cotton'!$E$9*$A165</f>
        <v>0</v>
      </c>
      <c r="E165" s="217">
        <f>('Dry Cotton'!F$49-B165/500*'Universal Input Prices'!$B$39/2000*Cottonseed_Price+(B165-B$163)/100*'Dry Cotton'!$D$30+(B165-B$163)/'Dry Cotton'!$B$11/100*'Dry Cotton'!$D$31)/B165</f>
        <v>0.47103737937307</v>
      </c>
      <c r="F165" s="217">
        <f>('Dry Cotton'!G$49-C165/500*'Universal Input Prices'!$B$39/2000*Cottonseed_Price+(C165-C$163)/100*'Dry Cotton'!$D$30+(C165-C$163)/'Dry Cotton'!$B$11/100*'Dry Cotton'!$D$31)/C165</f>
        <v>0.4698948308202483</v>
      </c>
      <c r="G165" s="219">
        <f>('Dry Cotton'!F$63-B165/500*'Universal Input Prices'!$B$39/2000*Cottonseed_Price+(B165-B$163)/100*'Dry Cotton'!$D$30+(B165-B$163)/'Dry Cotton'!$B$11/100*'Dry Cotton'!$D$31)/B165</f>
        <v>0.58423737937307008</v>
      </c>
      <c r="H165" s="219">
        <f>('Dry Cotton'!G$63-C165/500*'Universal Input Prices'!$B$39/2000*Cottonseed_Price+(C165-C$163)/100*'Dry Cotton'!$D$30+(C165-C$163)/'Dry Cotton'!$B$11/100*'Dry Cotton'!$D$31)/C165</f>
        <v>0.58309483082024838</v>
      </c>
      <c r="I165" s="219" t="str">
        <f>IF($D165=0,"N/A",('Dry Cotton'!H$63-D165/500*'Universal Input Prices'!$B$39/2000*Cottonseed_Price+(D165-D$163)/100*'Dry Cotton'!$D$30+(D165-D$163)/'Dry Cotton'!$B$11/100*'Dry Cotton'!$D$31)/D165)</f>
        <v>N/A</v>
      </c>
    </row>
    <row r="166" spans="1:9" ht="13.35" customHeight="1" x14ac:dyDescent="0.25">
      <c r="A166" s="110"/>
      <c r="B166" s="110"/>
    </row>
    <row r="167" spans="1:9" ht="13.35" customHeight="1" x14ac:dyDescent="0.25">
      <c r="A167" s="325" t="str">
        <f>'Dry Sorghum'!$A$3:$H$3</f>
        <v>Dryland Sorghum</v>
      </c>
      <c r="B167" s="325"/>
      <c r="C167" s="325"/>
      <c r="D167" s="325"/>
      <c r="E167" s="325"/>
      <c r="F167" s="325"/>
      <c r="G167" s="325"/>
      <c r="H167" s="325"/>
      <c r="I167" s="325"/>
    </row>
    <row r="168" spans="1:9" ht="28.5" customHeight="1" x14ac:dyDescent="0.25">
      <c r="A168" s="278"/>
      <c r="B168" s="278"/>
      <c r="C168" s="279"/>
      <c r="D168" s="279"/>
      <c r="E168" s="326" t="s">
        <v>220</v>
      </c>
      <c r="F168" s="327"/>
      <c r="G168" s="328" t="s">
        <v>221</v>
      </c>
      <c r="H168" s="329"/>
      <c r="I168" s="329"/>
    </row>
    <row r="169" spans="1:9" ht="13.35" customHeight="1" x14ac:dyDescent="0.25">
      <c r="A169" s="211" t="s">
        <v>153</v>
      </c>
      <c r="B169" s="292" t="s">
        <v>152</v>
      </c>
      <c r="C169" s="127"/>
      <c r="D169" s="127"/>
      <c r="E169" s="216" t="s">
        <v>56</v>
      </c>
      <c r="F169" s="216" t="s">
        <v>52</v>
      </c>
      <c r="G169" s="218" t="s">
        <v>56</v>
      </c>
      <c r="H169" s="218" t="s">
        <v>52</v>
      </c>
      <c r="I169" s="218" t="s">
        <v>53</v>
      </c>
    </row>
    <row r="170" spans="1:9" ht="13.35" customHeight="1" x14ac:dyDescent="0.25">
      <c r="A170" s="213">
        <v>0.75</v>
      </c>
      <c r="B170" s="214">
        <f>'Dry Sorghum'!$B$9*$A170</f>
        <v>18.75</v>
      </c>
      <c r="C170" s="134">
        <f>'Dry Sorghum'!$B$9*(1-'Dry Sorghum'!$E$9)*$A170</f>
        <v>18.75</v>
      </c>
      <c r="D170" s="134">
        <f>'Dry Sorghum'!$B$9*'Dry Sorghum'!$E$9*$A170</f>
        <v>0</v>
      </c>
      <c r="E170" s="217">
        <f>('Dry Sorghum'!$F$43-'Irr Sorghum'!$F$10+($B170-B$172)*'Dry Sorghum'!$D$25)/$B170</f>
        <v>8.26716276498356</v>
      </c>
      <c r="F170" s="217">
        <f>('Dry Sorghum'!$G$43-'Irr Sorghum'!$F$10+($C170-C$172)*'Dry Sorghum'!$D$25)/$C170</f>
        <v>7.9381689594207154</v>
      </c>
      <c r="G170" s="219">
        <f>('Dry Sorghum'!$F$57-'Irr Sorghum'!$F$10+($B170-B$172)*'Dry Sorghum'!$D$25)/$B170</f>
        <v>11.020762764983559</v>
      </c>
      <c r="H170" s="219">
        <f>('Dry Sorghum'!$G$57-'Irr Sorghum'!$F$10+($C170-C$172)*'Dry Sorghum'!$D$25)/$C170</f>
        <v>10.691768959420715</v>
      </c>
      <c r="I170" s="219" t="str">
        <f>IF($D170=0, "N/A", ('Dry Sorghum'!$H$57-'Irr Sorghum'!$F$10+($D170-D$172)*'Dry Sorghum'!$D$25)/$D170)</f>
        <v>N/A</v>
      </c>
    </row>
    <row r="171" spans="1:9" ht="13.35" customHeight="1" x14ac:dyDescent="0.25">
      <c r="A171" s="213">
        <v>0.9</v>
      </c>
      <c r="B171" s="214">
        <f>'Dry Sorghum'!$B$9*$A171</f>
        <v>22.5</v>
      </c>
      <c r="C171" s="134">
        <f>'Dry Sorghum'!$B$9*(1-'Dry Sorghum'!$E$9)*$A171</f>
        <v>22.5</v>
      </c>
      <c r="D171" s="134">
        <f>'Dry Sorghum'!$B$9*'Dry Sorghum'!$E$9*$A171</f>
        <v>0</v>
      </c>
      <c r="E171" s="217">
        <f>('Dry Sorghum'!$F$43-'Irr Sorghum'!$F$10+($B171-B$172)*'Dry Sorghum'!$D$25)/$B171</f>
        <v>6.9309689708196327</v>
      </c>
      <c r="F171" s="217">
        <f>('Dry Sorghum'!$G$43-'Irr Sorghum'!$F$10+($C171-C$172)*'Dry Sorghum'!$D$25)/$C171</f>
        <v>6.6568074661839294</v>
      </c>
      <c r="G171" s="219">
        <f>('Dry Sorghum'!$F$57-'Irr Sorghum'!$F$10+($B171-B$172)*'Dry Sorghum'!$D$25)/$B171</f>
        <v>9.2256356374862989</v>
      </c>
      <c r="H171" s="219">
        <f>('Dry Sorghum'!$G$57-'Irr Sorghum'!$F$10+($C171-C$172)*'Dry Sorghum'!$D$25)/$C171</f>
        <v>8.9514741328505956</v>
      </c>
      <c r="I171" s="219" t="str">
        <f>IF($D171=0, "N/A", ('Dry Sorghum'!$H$57-'Irr Sorghum'!$F$10+($D171-D$172)*'Dry Sorghum'!$D$25)/$D171)</f>
        <v>N/A</v>
      </c>
    </row>
    <row r="172" spans="1:9" ht="13.35" customHeight="1" x14ac:dyDescent="0.25">
      <c r="A172" s="215">
        <v>1</v>
      </c>
      <c r="B172" s="214">
        <f>'Dry Sorghum'!$B$9*$A172</f>
        <v>25</v>
      </c>
      <c r="C172" s="134">
        <f>'Dry Sorghum'!$B$9*(1-'Dry Sorghum'!$E$9)*$A172</f>
        <v>25</v>
      </c>
      <c r="D172" s="134">
        <f>'Dry Sorghum'!$B$9*'Dry Sorghum'!$E$9*$A172</f>
        <v>0</v>
      </c>
      <c r="E172" s="217">
        <f>('Dry Sorghum'!$F$43-'Irr Sorghum'!$F$10+($B172-B$172)*'Dry Sorghum'!$D$25)/$B172</f>
        <v>6.2628720737376691</v>
      </c>
      <c r="F172" s="217">
        <f>('Dry Sorghum'!$G$43-'Irr Sorghum'!$F$10+($C172-C$172)*'Dry Sorghum'!$D$25)/$C172</f>
        <v>6.0161267195655368</v>
      </c>
      <c r="G172" s="219">
        <f>('Dry Sorghum'!$F$57-'Irr Sorghum'!$F$10+($B172-B$172)*'Dry Sorghum'!$D$25)/$B172</f>
        <v>8.328072073737669</v>
      </c>
      <c r="H172" s="219">
        <f>('Dry Sorghum'!$G$57-'Irr Sorghum'!$F$10+($C172-C$172)*'Dry Sorghum'!$D$25)/$C172</f>
        <v>8.0813267195655367</v>
      </c>
      <c r="I172" s="219" t="str">
        <f>IF($D172=0, "N/A", ('Dry Sorghum'!$H$57-'Irr Sorghum'!$F$10+($D172-D$172)*'Dry Sorghum'!$D$25)/$D172)</f>
        <v>N/A</v>
      </c>
    </row>
    <row r="173" spans="1:9" ht="13.35" customHeight="1" x14ac:dyDescent="0.25">
      <c r="A173" s="213">
        <v>1.1000000000000001</v>
      </c>
      <c r="B173" s="214">
        <f>'Dry Sorghum'!$B$9*$A173</f>
        <v>27.500000000000004</v>
      </c>
      <c r="C173" s="134">
        <f>'Dry Sorghum'!$B$9*(1-'Dry Sorghum'!$E$9)*$A173</f>
        <v>27.500000000000004</v>
      </c>
      <c r="D173" s="134">
        <f>'Dry Sorghum'!$B$9*'Dry Sorghum'!$E$9*$A173</f>
        <v>0</v>
      </c>
      <c r="E173" s="217">
        <f>('Dry Sorghum'!$F$43-'Irr Sorghum'!$F$10+($B173-B$172)*'Dry Sorghum'!$D$25)/$B173</f>
        <v>5.7162473397615168</v>
      </c>
      <c r="F173" s="217">
        <f>('Dry Sorghum'!$G$43-'Irr Sorghum'!$F$10+($C173-C$172)*'Dry Sorghum'!$D$25)/$C173</f>
        <v>5.4919333814232143</v>
      </c>
      <c r="G173" s="219">
        <f>('Dry Sorghum'!$F$57-'Irr Sorghum'!$F$10+($B173-B$172)*'Dry Sorghum'!$D$25)/$B173</f>
        <v>7.5937018852160616</v>
      </c>
      <c r="H173" s="219">
        <f>('Dry Sorghum'!$G$57-'Irr Sorghum'!$F$10+($C173-C$172)*'Dry Sorghum'!$D$25)/$C173</f>
        <v>7.3693879268777591</v>
      </c>
      <c r="I173" s="219" t="str">
        <f>IF($D173=0, "N/A", ('Dry Sorghum'!$H$57-'Irr Sorghum'!$F$10+($D173-D$172)*'Dry Sorghum'!$D$25)/$D173)</f>
        <v>N/A</v>
      </c>
    </row>
    <row r="174" spans="1:9" ht="13.35" customHeight="1" x14ac:dyDescent="0.25">
      <c r="A174" s="213">
        <v>1.25</v>
      </c>
      <c r="B174" s="214">
        <f>'Dry Sorghum'!$B$9*$A174</f>
        <v>31.25</v>
      </c>
      <c r="C174" s="134">
        <f>'Dry Sorghum'!$B$9*(1-'Dry Sorghum'!$E$9)*$A174</f>
        <v>31.25</v>
      </c>
      <c r="D174" s="134">
        <f>'Dry Sorghum'!$B$9*'Dry Sorghum'!$E$9*$A174</f>
        <v>0</v>
      </c>
      <c r="E174" s="217">
        <f>('Dry Sorghum'!$F$43-'Irr Sorghum'!$F$10+($B174-B$172)*'Dry Sorghum'!$D$25)/$B174</f>
        <v>5.0602976589901356</v>
      </c>
      <c r="F174" s="217">
        <f>('Dry Sorghum'!$G$43-'Irr Sorghum'!$F$10+($C174-C$172)*'Dry Sorghum'!$D$25)/$C174</f>
        <v>4.8629013756524291</v>
      </c>
      <c r="G174" s="219">
        <f>('Dry Sorghum'!$F$57-'Irr Sorghum'!$F$10+($B174-B$172)*'Dry Sorghum'!$D$25)/$B174</f>
        <v>6.712457658990135</v>
      </c>
      <c r="H174" s="219">
        <f>('Dry Sorghum'!$G$57-'Irr Sorghum'!$F$10+($C174-C$172)*'Dry Sorghum'!$D$25)/$C174</f>
        <v>6.5150613756524294</v>
      </c>
      <c r="I174" s="219" t="str">
        <f>IF($D174=0, "N/A", ('Dry Sorghum'!$H$57-'Irr Sorghum'!$F$10+($D174-D$172)*'Dry Sorghum'!$D$25)/$D174)</f>
        <v>N/A</v>
      </c>
    </row>
    <row r="175" spans="1:9" ht="13.35" customHeight="1" x14ac:dyDescent="0.25">
      <c r="A175" s="110"/>
      <c r="B175" s="110"/>
    </row>
    <row r="176" spans="1:9" ht="13.35" customHeight="1" x14ac:dyDescent="0.25">
      <c r="A176" s="325" t="str">
        <f>'Dry Sorghum Sudangrass'!$A$3:$H$3</f>
        <v>Dryland Sorghum Sudangrass</v>
      </c>
      <c r="B176" s="325"/>
      <c r="C176" s="325"/>
      <c r="D176" s="325"/>
      <c r="E176" s="325"/>
      <c r="F176" s="325"/>
      <c r="G176" s="325"/>
      <c r="H176" s="325"/>
      <c r="I176" s="325"/>
    </row>
    <row r="177" spans="1:9" ht="28.5" customHeight="1" x14ac:dyDescent="0.25">
      <c r="A177" s="278"/>
      <c r="B177" s="278"/>
      <c r="C177" s="279"/>
      <c r="D177" s="279"/>
      <c r="E177" s="326" t="s">
        <v>220</v>
      </c>
      <c r="F177" s="327"/>
      <c r="G177" s="328" t="s">
        <v>221</v>
      </c>
      <c r="H177" s="329"/>
      <c r="I177" s="329"/>
    </row>
    <row r="178" spans="1:9" ht="13.35" customHeight="1" x14ac:dyDescent="0.25">
      <c r="A178" s="211" t="s">
        <v>153</v>
      </c>
      <c r="B178" s="292" t="s">
        <v>252</v>
      </c>
      <c r="C178" s="127"/>
      <c r="D178" s="127"/>
      <c r="E178" s="216" t="s">
        <v>56</v>
      </c>
      <c r="F178" s="216" t="s">
        <v>52</v>
      </c>
      <c r="G178" s="218" t="s">
        <v>56</v>
      </c>
      <c r="H178" s="218" t="s">
        <v>52</v>
      </c>
      <c r="I178" s="218" t="s">
        <v>53</v>
      </c>
    </row>
    <row r="179" spans="1:9" ht="13.35" customHeight="1" x14ac:dyDescent="0.25">
      <c r="A179" s="213">
        <v>0.75</v>
      </c>
      <c r="B179" s="214">
        <f>'Dry Sorghum Sudangrass'!$B$9*$A179</f>
        <v>252</v>
      </c>
      <c r="C179" s="134">
        <f>'Dry Sorghum Sudangrass'!$B$9*(1-'Dry Sorghum Sudangrass'!$E$9)*$A179</f>
        <v>168.83999999999997</v>
      </c>
      <c r="D179" s="134">
        <f>'Dry Sorghum Sudangrass'!$B$9*'Dry Sorghum Sudangrass'!$E$9*$A179</f>
        <v>83.160000000000011</v>
      </c>
      <c r="E179" s="217">
        <f>('Dry Sorghum Sudangrass'!$F$42+($B179-B$181)*'Dry Sorghum Sudangrass'!$D$24)/$B179</f>
        <v>0.43608989218055699</v>
      </c>
      <c r="F179" s="217">
        <f>('Dry Sorghum Sudangrass'!$G$42+($C179-C$181)*'Dry Sorghum Sudangrass'!$D$24)/$C179</f>
        <v>0.53747799925099493</v>
      </c>
      <c r="G179" s="219">
        <f>('Dry Sorghum Sudangrass'!$F$56+($B179-B$181)*'Dry Sorghum Sudangrass'!$D$24)/$B179</f>
        <v>0.63620893979960458</v>
      </c>
      <c r="H179" s="219">
        <f>('Dry Sorghum Sudangrass'!$G$56+($C179-C$181)*'Dry Sorghum Sudangrass'!$D$24)/$C179</f>
        <v>0.67920981635594635</v>
      </c>
      <c r="I179" s="219">
        <f>IF($D179=0, "N/A", ('Dry Sorghum Sudangrass'!$H$56+($D179-D$181)*'Dry Sorghum Sudangrass'!$D$24)/$D179)</f>
        <v>0.55748107263107261</v>
      </c>
    </row>
    <row r="180" spans="1:9" ht="13.35" customHeight="1" x14ac:dyDescent="0.25">
      <c r="A180" s="213">
        <v>0.9</v>
      </c>
      <c r="B180" s="214">
        <f>'Dry Sorghum Sudangrass'!$B$9*$A180</f>
        <v>302.40000000000003</v>
      </c>
      <c r="C180" s="134">
        <f>'Dry Sorghum Sudangrass'!$B$9*(1-'Dry Sorghum Sudangrass'!$E$9)*$A180</f>
        <v>202.60799999999998</v>
      </c>
      <c r="D180" s="134">
        <f>'Dry Sorghum Sudangrass'!$B$9*'Dry Sorghum Sudangrass'!$E$9*$A180</f>
        <v>99.792000000000016</v>
      </c>
      <c r="E180" s="217">
        <f>('Dry Sorghum Sudangrass'!$F$42+($B180-B$181)*'Dry Sorghum Sudangrass'!$D$24)/$B180</f>
        <v>0.36340824348379747</v>
      </c>
      <c r="F180" s="217">
        <f>('Dry Sorghum Sudangrass'!$G$42+($C180-C$181)*'Dry Sorghum Sudangrass'!$D$24)/$C180</f>
        <v>0.44789833270916241</v>
      </c>
      <c r="G180" s="219">
        <f>('Dry Sorghum Sudangrass'!$F$56+($B180-B$181)*'Dry Sorghum Sudangrass'!$D$24)/$B180</f>
        <v>0.5301741164996705</v>
      </c>
      <c r="H180" s="219">
        <f>('Dry Sorghum Sudangrass'!$G$56+($C180-C$181)*'Dry Sorghum Sudangrass'!$D$24)/$C180</f>
        <v>0.56600818029662192</v>
      </c>
      <c r="I180" s="219">
        <f>IF($D180=0, "N/A", ('Dry Sorghum Sudangrass'!$H$56+($D180-D$181)*'Dry Sorghum Sudangrass'!$D$24)/$D180)</f>
        <v>0.46456756052589382</v>
      </c>
    </row>
    <row r="181" spans="1:9" ht="13.35" customHeight="1" x14ac:dyDescent="0.25">
      <c r="A181" s="215">
        <v>1</v>
      </c>
      <c r="B181" s="214">
        <f>'Dry Sorghum Sudangrass'!$B$9*$A181</f>
        <v>336</v>
      </c>
      <c r="C181" s="134">
        <f>'Dry Sorghum Sudangrass'!$B$9*(1-'Dry Sorghum Sudangrass'!$E$9)*$A181</f>
        <v>225.11999999999998</v>
      </c>
      <c r="D181" s="134">
        <f>'Dry Sorghum Sudangrass'!$B$9*'Dry Sorghum Sudangrass'!$E$9*$A181</f>
        <v>110.88000000000001</v>
      </c>
      <c r="E181" s="217">
        <f>('Dry Sorghum Sudangrass'!$F$42+($B181-B$181)*'Dry Sorghum Sudangrass'!$D$24)/$B181</f>
        <v>0.32706741913541776</v>
      </c>
      <c r="F181" s="217">
        <f>('Dry Sorghum Sudangrass'!$G$42+($C181-C$181)*'Dry Sorghum Sudangrass'!$D$24)/$C181</f>
        <v>0.40310849943824617</v>
      </c>
      <c r="G181" s="219">
        <f>('Dry Sorghum Sudangrass'!$F$56+($B181-B$181)*'Dry Sorghum Sudangrass'!$D$24)/$B181</f>
        <v>0.47715670484970346</v>
      </c>
      <c r="H181" s="219">
        <f>('Dry Sorghum Sudangrass'!$G$56+($C181-C$181)*'Dry Sorghum Sudangrass'!$D$24)/$C181</f>
        <v>0.50940736226695971</v>
      </c>
      <c r="I181" s="219">
        <f>IF($D181=0, "N/A", ('Dry Sorghum Sudangrass'!$H$56+($D181-D$181)*'Dry Sorghum Sudangrass'!$D$24)/$D181)</f>
        <v>0.41811080447330445</v>
      </c>
    </row>
    <row r="182" spans="1:9" ht="13.35" customHeight="1" x14ac:dyDescent="0.25">
      <c r="A182" s="213">
        <v>1.1000000000000001</v>
      </c>
      <c r="B182" s="214">
        <f>'Dry Sorghum Sudangrass'!$B$9*$A182</f>
        <v>369.6</v>
      </c>
      <c r="C182" s="134">
        <f>'Dry Sorghum Sudangrass'!$B$9*(1-'Dry Sorghum Sudangrass'!$E$9)*$A182</f>
        <v>247.63200000000001</v>
      </c>
      <c r="D182" s="134">
        <f>'Dry Sorghum Sudangrass'!$B$9*'Dry Sorghum Sudangrass'!$E$9*$A182</f>
        <v>121.96800000000002</v>
      </c>
      <c r="E182" s="217">
        <f>('Dry Sorghum Sudangrass'!$F$42+($B182-B$181)*'Dry Sorghum Sudangrass'!$D$24)/$B182</f>
        <v>0.29733401739583426</v>
      </c>
      <c r="F182" s="217">
        <f>('Dry Sorghum Sudangrass'!$G$42+($C182-C$181)*'Dry Sorghum Sudangrass'!$D$24)/$C182</f>
        <v>0.36646227221658739</v>
      </c>
      <c r="G182" s="219">
        <f>('Dry Sorghum Sudangrass'!$F$56+($B182-B$181)*'Dry Sorghum Sudangrass'!$D$24)/$B182</f>
        <v>0.43377882259063949</v>
      </c>
      <c r="H182" s="219">
        <f>('Dry Sorghum Sudangrass'!$G$56+($C182-C$181)*'Dry Sorghum Sudangrass'!$D$24)/$C182</f>
        <v>0.46309760206087242</v>
      </c>
      <c r="I182" s="219">
        <f>IF($D182=0, "N/A", ('Dry Sorghum Sudangrass'!$H$56+($D182-D$181)*'Dry Sorghum Sudangrass'!$D$24)/$D182)</f>
        <v>0.38010073133936767</v>
      </c>
    </row>
    <row r="183" spans="1:9" ht="13.35" customHeight="1" x14ac:dyDescent="0.25">
      <c r="A183" s="213">
        <v>1.25</v>
      </c>
      <c r="B183" s="214">
        <f>'Dry Sorghum Sudangrass'!$B$9*$A183</f>
        <v>420</v>
      </c>
      <c r="C183" s="134">
        <f>'Dry Sorghum Sudangrass'!$B$9*(1-'Dry Sorghum Sudangrass'!$E$9)*$A183</f>
        <v>281.39999999999998</v>
      </c>
      <c r="D183" s="134">
        <f>'Dry Sorghum Sudangrass'!$B$9*'Dry Sorghum Sudangrass'!$E$9*$A183</f>
        <v>138.60000000000002</v>
      </c>
      <c r="E183" s="217">
        <f>('Dry Sorghum Sudangrass'!$F$42+($B183-B$181)*'Dry Sorghum Sudangrass'!$D$24)/$B183</f>
        <v>0.2616539353083342</v>
      </c>
      <c r="F183" s="217">
        <f>('Dry Sorghum Sudangrass'!$G$42+($C183-C$181)*'Dry Sorghum Sudangrass'!$D$24)/$C183</f>
        <v>0.32248679955059695</v>
      </c>
      <c r="G183" s="219">
        <f>('Dry Sorghum Sudangrass'!$F$56+($B183-B$181)*'Dry Sorghum Sudangrass'!$D$24)/$B183</f>
        <v>0.3817253638797628</v>
      </c>
      <c r="H183" s="219">
        <f>('Dry Sorghum Sudangrass'!$G$56+($C183-C$181)*'Dry Sorghum Sudangrass'!$D$24)/$C183</f>
        <v>0.40752588981356774</v>
      </c>
      <c r="I183" s="219">
        <f>IF($D183=0, "N/A", ('Dry Sorghum Sudangrass'!$H$56+($D183-D$181)*'Dry Sorghum Sudangrass'!$D$24)/$D183)</f>
        <v>0.33448864357864355</v>
      </c>
    </row>
    <row r="184" spans="1:9" ht="13.35" customHeight="1" x14ac:dyDescent="0.25">
      <c r="A184" s="110"/>
      <c r="B184" s="110"/>
    </row>
    <row r="185" spans="1:9" ht="13.35" customHeight="1" x14ac:dyDescent="0.25">
      <c r="A185" s="325" t="str">
        <f>'Dry Sunflowers-Oilseed'!$A$3:$H$3</f>
        <v xml:space="preserve">Dryland Sunflowers-Oilseed </v>
      </c>
      <c r="B185" s="325"/>
      <c r="C185" s="325"/>
      <c r="D185" s="325"/>
      <c r="E185" s="325"/>
      <c r="F185" s="325"/>
      <c r="G185" s="325"/>
      <c r="H185" s="325"/>
      <c r="I185" s="325"/>
    </row>
    <row r="186" spans="1:9" ht="28.5" customHeight="1" x14ac:dyDescent="0.25">
      <c r="A186" s="278"/>
      <c r="B186" s="278"/>
      <c r="C186" s="279"/>
      <c r="D186" s="279"/>
      <c r="E186" s="326" t="s">
        <v>220</v>
      </c>
      <c r="F186" s="327"/>
      <c r="G186" s="328" t="s">
        <v>221</v>
      </c>
      <c r="H186" s="329"/>
      <c r="I186" s="329"/>
    </row>
    <row r="187" spans="1:9" ht="13.35" customHeight="1" x14ac:dyDescent="0.25">
      <c r="A187" s="211" t="s">
        <v>153</v>
      </c>
      <c r="B187" s="292" t="s">
        <v>152</v>
      </c>
      <c r="C187" s="127"/>
      <c r="D187" s="127"/>
      <c r="E187" s="216" t="s">
        <v>56</v>
      </c>
      <c r="F187" s="216" t="s">
        <v>52</v>
      </c>
      <c r="G187" s="218" t="s">
        <v>56</v>
      </c>
      <c r="H187" s="218" t="s">
        <v>52</v>
      </c>
      <c r="I187" s="218" t="s">
        <v>53</v>
      </c>
    </row>
    <row r="188" spans="1:9" ht="13.35" customHeight="1" x14ac:dyDescent="0.25">
      <c r="A188" s="213">
        <v>0.75</v>
      </c>
      <c r="B188" s="214">
        <f>'Dry Sunflowers-Oilseed'!$B$9*$A188</f>
        <v>7.5</v>
      </c>
      <c r="C188" s="134">
        <f>'Dry Sunflowers-Oilseed'!$B$9*(1-'Dry Sunflowers-Oilseed'!$E$9)*$A188</f>
        <v>5.0249999999999995</v>
      </c>
      <c r="D188" s="134">
        <f>'Dry Sunflowers-Oilseed'!$B$9*'Dry Sunflowers-Oilseed'!$E$9*$A188</f>
        <v>2.4750000000000001</v>
      </c>
      <c r="E188" s="217">
        <f>('Dry Sunflowers-Oilseed'!$F$44+($B188-B$190)*'Dry Sunflowers-Oilseed'!$D$25)/$B188</f>
        <v>20.138420029148669</v>
      </c>
      <c r="F188" s="217">
        <f>('Dry Sunflowers-Oilseed'!$G$44+($C188-C$190)*'Dry Sunflowers-Oilseed'!$D$25)/$C188</f>
        <v>24.930328926574731</v>
      </c>
      <c r="G188" s="219">
        <f>('Dry Sunflowers-Oilseed'!$F$58+($B188-B$190)*'Dry Sunflowers-Oilseed'!$D$25)/$B188</f>
        <v>26.683753362482001</v>
      </c>
      <c r="H188" s="219">
        <f>('Dry Sunflowers-Oilseed'!$G$58+($C188-C$190)*'Dry Sunflowers-Oilseed'!$D$25)/$C188</f>
        <v>29.425851314634436</v>
      </c>
      <c r="I188" s="219">
        <f>IF($D188=0, "N/A", ('Dry Sunflowers-Oilseed'!$H$58+($D188-D$190)*'Dry Sunflowers-Oilseed'!$D$25)/$D188)</f>
        <v>21.334579873737376</v>
      </c>
    </row>
    <row r="189" spans="1:9" ht="13.35" customHeight="1" x14ac:dyDescent="0.25">
      <c r="A189" s="213">
        <v>0.9</v>
      </c>
      <c r="B189" s="214">
        <f>'Dry Sunflowers-Oilseed'!$B$9*$A189</f>
        <v>9</v>
      </c>
      <c r="C189" s="134">
        <f>'Dry Sunflowers-Oilseed'!$B$9*(1-'Dry Sunflowers-Oilseed'!$E$9)*$A189</f>
        <v>6.0299999999999994</v>
      </c>
      <c r="D189" s="134">
        <f>'Dry Sunflowers-Oilseed'!$B$9*'Dry Sunflowers-Oilseed'!$E$9*$A189</f>
        <v>2.97</v>
      </c>
      <c r="E189" s="217">
        <f>('Dry Sunflowers-Oilseed'!$F$44+($B189-B$190)*'Dry Sunflowers-Oilseed'!$D$25)/$B189</f>
        <v>16.857016690957224</v>
      </c>
      <c r="F189" s="217">
        <f>('Dry Sunflowers-Oilseed'!$G$44+($C189-C$190)*'Dry Sunflowers-Oilseed'!$D$25)/$C189</f>
        <v>20.850274105478942</v>
      </c>
      <c r="G189" s="219">
        <f>('Dry Sunflowers-Oilseed'!$F$58+($B189-B$190)*'Dry Sunflowers-Oilseed'!$D$25)/$B189</f>
        <v>22.311461135401672</v>
      </c>
      <c r="H189" s="219">
        <f>('Dry Sunflowers-Oilseed'!$G$58+($C189-C$190)*'Dry Sunflowers-Oilseed'!$D$25)/$C189</f>
        <v>24.596542762195359</v>
      </c>
      <c r="I189" s="219">
        <f>IF($D189=0, "N/A", ('Dry Sunflowers-Oilseed'!$H$58+($D189-D$190)*'Dry Sunflowers-Oilseed'!$D$25)/$D189)</f>
        <v>17.853816561447811</v>
      </c>
    </row>
    <row r="190" spans="1:9" ht="13.35" customHeight="1" x14ac:dyDescent="0.25">
      <c r="A190" s="215">
        <v>1</v>
      </c>
      <c r="B190" s="214">
        <f>'Dry Sunflowers-Oilseed'!$B$9*$A190</f>
        <v>10</v>
      </c>
      <c r="C190" s="134">
        <f>'Dry Sunflowers-Oilseed'!$B$9*(1-'Dry Sunflowers-Oilseed'!$E$9)*$A190</f>
        <v>6.6999999999999993</v>
      </c>
      <c r="D190" s="134">
        <f>'Dry Sunflowers-Oilseed'!$B$9*'Dry Sunflowers-Oilseed'!$E$9*$A190</f>
        <v>3.3000000000000003</v>
      </c>
      <c r="E190" s="217">
        <f>('Dry Sunflowers-Oilseed'!$F$44+($B190-B$190)*'Dry Sunflowers-Oilseed'!$D$25)/$B190</f>
        <v>15.216315021861501</v>
      </c>
      <c r="F190" s="217">
        <f>('Dry Sunflowers-Oilseed'!$G$44+($C190-C$190)*'Dry Sunflowers-Oilseed'!$D$25)/$C190</f>
        <v>18.810246694931049</v>
      </c>
      <c r="G190" s="219">
        <f>('Dry Sunflowers-Oilseed'!$F$58+($B190-B$190)*'Dry Sunflowers-Oilseed'!$D$25)/$B190</f>
        <v>20.125315021861503</v>
      </c>
      <c r="H190" s="219">
        <f>('Dry Sunflowers-Oilseed'!$G$58+($C190-C$190)*'Dry Sunflowers-Oilseed'!$D$25)/$C190</f>
        <v>22.181888485975826</v>
      </c>
      <c r="I190" s="219">
        <f>IF($D190=0, "N/A", ('Dry Sunflowers-Oilseed'!$H$58+($D190-D$190)*'Dry Sunflowers-Oilseed'!$D$25)/$D190)</f>
        <v>16.113434905303031</v>
      </c>
    </row>
    <row r="191" spans="1:9" ht="13.35" customHeight="1" x14ac:dyDescent="0.25">
      <c r="A191" s="213">
        <v>1.1000000000000001</v>
      </c>
      <c r="B191" s="214">
        <f>'Dry Sunflowers-Oilseed'!$B$9*$A191</f>
        <v>11</v>
      </c>
      <c r="C191" s="134">
        <f>'Dry Sunflowers-Oilseed'!$B$9*(1-'Dry Sunflowers-Oilseed'!$E$9)*$A191</f>
        <v>7.37</v>
      </c>
      <c r="D191" s="134">
        <f>'Dry Sunflowers-Oilseed'!$B$9*'Dry Sunflowers-Oilseed'!$E$9*$A191</f>
        <v>3.6300000000000008</v>
      </c>
      <c r="E191" s="217">
        <f>('Dry Sunflowers-Oilseed'!$F$44+($B191-B$190)*'Dry Sunflowers-Oilseed'!$D$25)/$B191</f>
        <v>13.873922747146819</v>
      </c>
      <c r="F191" s="217">
        <f>('Dry Sunflowers-Oilseed'!$G$44+($C191-C$190)*'Dry Sunflowers-Oilseed'!$D$25)/$C191</f>
        <v>17.141133359028224</v>
      </c>
      <c r="G191" s="219">
        <f>('Dry Sunflowers-Oilseed'!$F$58+($B191-B$190)*'Dry Sunflowers-Oilseed'!$D$25)/$B191</f>
        <v>18.336650019874092</v>
      </c>
      <c r="H191" s="219">
        <f>('Dry Sunflowers-Oilseed'!$G$58+($C191-C$190)*'Dry Sunflowers-Oilseed'!$D$25)/$C191</f>
        <v>20.206262259978022</v>
      </c>
      <c r="I191" s="219">
        <f>IF($D191=0, "N/A", ('Dry Sunflowers-Oilseed'!$H$58+($D191-D$190)*'Dry Sunflowers-Oilseed'!$D$25)/$D191)</f>
        <v>14.689486277548207</v>
      </c>
    </row>
    <row r="192" spans="1:9" ht="13.35" customHeight="1" x14ac:dyDescent="0.25">
      <c r="A192" s="213">
        <v>1.25</v>
      </c>
      <c r="B192" s="214">
        <f>'Dry Sunflowers-Oilseed'!$B$9*$A192</f>
        <v>12.5</v>
      </c>
      <c r="C192" s="134">
        <f>'Dry Sunflowers-Oilseed'!$B$9*(1-'Dry Sunflowers-Oilseed'!$E$9)*$A192</f>
        <v>8.375</v>
      </c>
      <c r="D192" s="134">
        <f>'Dry Sunflowers-Oilseed'!$B$9*'Dry Sunflowers-Oilseed'!$E$9*$A192</f>
        <v>4.125</v>
      </c>
      <c r="E192" s="217">
        <f>('Dry Sunflowers-Oilseed'!$F$44+($B192-B$190)*'Dry Sunflowers-Oilseed'!$D$25)/$B192</f>
        <v>12.263052017489201</v>
      </c>
      <c r="F192" s="217">
        <f>('Dry Sunflowers-Oilseed'!$G$44+($C192-C$190)*'Dry Sunflowers-Oilseed'!$D$25)/$C192</f>
        <v>15.138197355944836</v>
      </c>
      <c r="G192" s="219">
        <f>('Dry Sunflowers-Oilseed'!$F$58+($B192-B$190)*'Dry Sunflowers-Oilseed'!$D$25)/$B192</f>
        <v>16.1902520174892</v>
      </c>
      <c r="H192" s="219">
        <f>('Dry Sunflowers-Oilseed'!$G$58+($C192-C$190)*'Dry Sunflowers-Oilseed'!$D$25)/$C192</f>
        <v>17.835510788780656</v>
      </c>
      <c r="I192" s="219">
        <f>IF($D192=0, "N/A", ('Dry Sunflowers-Oilseed'!$H$58+($D192-D$190)*'Dry Sunflowers-Oilseed'!$D$25)/$D192)</f>
        <v>12.980747924242426</v>
      </c>
    </row>
    <row r="193" spans="1:9" ht="13.35" customHeight="1" x14ac:dyDescent="0.25">
      <c r="A193" s="110"/>
      <c r="B193" s="110"/>
    </row>
    <row r="194" spans="1:9" ht="13.35" customHeight="1" x14ac:dyDescent="0.25">
      <c r="A194" s="325" t="str">
        <f>'Dry Wheat'!$A$3:$H$3</f>
        <v>Dryland Wheat</v>
      </c>
      <c r="B194" s="325"/>
      <c r="C194" s="325"/>
      <c r="D194" s="325"/>
      <c r="E194" s="325"/>
      <c r="F194" s="325"/>
      <c r="G194" s="325"/>
      <c r="H194" s="325"/>
      <c r="I194" s="325"/>
    </row>
    <row r="195" spans="1:9" ht="28.5" customHeight="1" x14ac:dyDescent="0.25">
      <c r="A195" s="278"/>
      <c r="B195" s="278"/>
      <c r="C195" s="279"/>
      <c r="D195" s="279"/>
      <c r="E195" s="326" t="s">
        <v>220</v>
      </c>
      <c r="F195" s="327"/>
      <c r="G195" s="328" t="s">
        <v>221</v>
      </c>
      <c r="H195" s="329"/>
      <c r="I195" s="329"/>
    </row>
    <row r="196" spans="1:9" ht="13.35" customHeight="1" x14ac:dyDescent="0.25">
      <c r="A196" s="211" t="s">
        <v>153</v>
      </c>
      <c r="B196" s="292" t="s">
        <v>152</v>
      </c>
      <c r="C196" s="127"/>
      <c r="D196" s="127"/>
      <c r="E196" s="216" t="s">
        <v>56</v>
      </c>
      <c r="F196" s="216" t="s">
        <v>52</v>
      </c>
      <c r="G196" s="218" t="s">
        <v>56</v>
      </c>
      <c r="H196" s="218" t="s">
        <v>52</v>
      </c>
      <c r="I196" s="218" t="s">
        <v>53</v>
      </c>
    </row>
    <row r="197" spans="1:9" ht="13.35" customHeight="1" x14ac:dyDescent="0.25">
      <c r="A197" s="213">
        <v>0.75</v>
      </c>
      <c r="B197" s="214">
        <f>'Dry Wheat'!$B$9*$A197</f>
        <v>15</v>
      </c>
      <c r="C197" s="134">
        <f>'Dry Wheat'!$B$9*(1-'Dry Wheat'!$E$9)*$A197</f>
        <v>10.049999999999999</v>
      </c>
      <c r="D197" s="134">
        <f>'Dry Wheat'!$B$9*'Dry Wheat'!$E$9*$A197</f>
        <v>4.95</v>
      </c>
      <c r="E197" s="217">
        <f>('Dry Wheat'!$F$44+($B197-B$199)*'Dry Wheat'!$D$26)/$B197</f>
        <v>7.3735140556862735</v>
      </c>
      <c r="F197" s="217">
        <f>('Dry Wheat'!$G$44+($C197-C$199)*'Dry Wheat'!$D$26)/$C197</f>
        <v>9.7440884288557204</v>
      </c>
      <c r="G197" s="219">
        <f>('Dry Wheat'!$F$58+($B197-B$199)*'Dry Wheat'!$D$26)/$B197</f>
        <v>10.918847389019607</v>
      </c>
      <c r="H197" s="219">
        <f>('Dry Wheat'!$G$58+($C197-C$199)*'Dry Wheat'!$D$26)/$C197</f>
        <v>12.398814797014925</v>
      </c>
      <c r="I197" s="219">
        <f>IF($D197=0, "N/A", ('Dry Wheat'!$H$58+($D197-D$199)*'Dry Wheat'!$D$26)/$D197)</f>
        <v>7.8377020202020198</v>
      </c>
    </row>
    <row r="198" spans="1:9" ht="13.35" customHeight="1" x14ac:dyDescent="0.25">
      <c r="A198" s="213">
        <v>0.9</v>
      </c>
      <c r="B198" s="214">
        <f>'Dry Wheat'!$B$9*$A198</f>
        <v>18</v>
      </c>
      <c r="C198" s="134">
        <f>'Dry Wheat'!$B$9*(1-'Dry Wheat'!$E$9)*$A198</f>
        <v>12.059999999999999</v>
      </c>
      <c r="D198" s="134">
        <f>'Dry Wheat'!$B$9*'Dry Wheat'!$E$9*$A198</f>
        <v>5.94</v>
      </c>
      <c r="E198" s="217">
        <f>('Dry Wheat'!$F$44+($B198-B$199)*'Dry Wheat'!$D$26)/$B198</f>
        <v>6.1862617130718949</v>
      </c>
      <c r="F198" s="217">
        <f>('Dry Wheat'!$G$44+($C198-C$199)*'Dry Wheat'!$D$26)/$C198</f>
        <v>8.1617403573797684</v>
      </c>
      <c r="G198" s="219">
        <f>('Dry Wheat'!$F$58+($B198-B$199)*'Dry Wheat'!$D$26)/$B198</f>
        <v>9.1407061575163393</v>
      </c>
      <c r="H198" s="219">
        <f>('Dry Wheat'!$G$58+($C198-C$199)*'Dry Wheat'!$D$26)/$C198</f>
        <v>10.374012330845771</v>
      </c>
      <c r="I198" s="219">
        <f>IF($D198=0, "N/A", ('Dry Wheat'!$H$58+($D198-D$199)*'Dry Wheat'!$D$26)/$D198)</f>
        <v>6.5730850168350168</v>
      </c>
    </row>
    <row r="199" spans="1:9" ht="13.35" customHeight="1" x14ac:dyDescent="0.25">
      <c r="A199" s="215">
        <v>1</v>
      </c>
      <c r="B199" s="214">
        <f>'Dry Wheat'!$B$9*$A199</f>
        <v>20</v>
      </c>
      <c r="C199" s="134">
        <f>'Dry Wheat'!$B$9*(1-'Dry Wheat'!$E$9)*$A199</f>
        <v>13.399999999999999</v>
      </c>
      <c r="D199" s="134">
        <f>'Dry Wheat'!$B$9*'Dry Wheat'!$E$9*$A199</f>
        <v>6.6000000000000005</v>
      </c>
      <c r="E199" s="217">
        <f>('Dry Wheat'!$F$44+($B199-B$199)*'Dry Wheat'!$D$26)/$B199</f>
        <v>5.5926355417647056</v>
      </c>
      <c r="F199" s="217">
        <f>('Dry Wheat'!$G$44+($C199-C$199)*'Dry Wheat'!$D$26)/$C199</f>
        <v>7.3705663216417907</v>
      </c>
      <c r="G199" s="219">
        <f>('Dry Wheat'!$F$58+($B199-B$199)*'Dry Wheat'!$D$26)/$B199</f>
        <v>8.2516355417647045</v>
      </c>
      <c r="H199" s="219">
        <f>('Dry Wheat'!$G$58+($C199-C$199)*'Dry Wheat'!$D$26)/$C199</f>
        <v>9.3616110977611928</v>
      </c>
      <c r="I199" s="219">
        <f>IF($D199=0, "N/A", ('Dry Wheat'!$H$58+($D199-D$199)*'Dry Wheat'!$D$26)/$D199)</f>
        <v>5.9407765151515148</v>
      </c>
    </row>
    <row r="200" spans="1:9" ht="13.35" customHeight="1" x14ac:dyDescent="0.25">
      <c r="A200" s="213">
        <v>1.1000000000000001</v>
      </c>
      <c r="B200" s="214">
        <f>'Dry Wheat'!$B$9*$A200</f>
        <v>22</v>
      </c>
      <c r="C200" s="134">
        <f>'Dry Wheat'!$B$9*(1-'Dry Wheat'!$E$9)*$A200</f>
        <v>14.74</v>
      </c>
      <c r="D200" s="134">
        <f>'Dry Wheat'!$B$9*'Dry Wheat'!$E$9*$A200</f>
        <v>7.2600000000000016</v>
      </c>
      <c r="E200" s="217">
        <f>('Dry Wheat'!$F$44+($B200-B$199)*'Dry Wheat'!$D$26)/$B200</f>
        <v>5.1069414016042778</v>
      </c>
      <c r="F200" s="217">
        <f>('Dry Wheat'!$G$44+($C200-C$199)*'Dry Wheat'!$D$26)/$C200</f>
        <v>6.7232421105834455</v>
      </c>
      <c r="G200" s="219">
        <f>('Dry Wheat'!$F$58+($B200-B$199)*'Dry Wheat'!$D$26)/$B200</f>
        <v>7.5242141288770048</v>
      </c>
      <c r="H200" s="219">
        <f>('Dry Wheat'!$G$58+($C200-C$199)*'Dry Wheat'!$D$26)/$C200</f>
        <v>8.5332828161465386</v>
      </c>
      <c r="I200" s="219">
        <f>IF($D200=0, "N/A", ('Dry Wheat'!$H$58+($D200-D$199)*'Dry Wheat'!$D$26)/$D200)</f>
        <v>5.4234331955922856</v>
      </c>
    </row>
    <row r="201" spans="1:9" ht="13.35" customHeight="1" x14ac:dyDescent="0.25">
      <c r="A201" s="213">
        <v>1.25</v>
      </c>
      <c r="B201" s="214">
        <f>'Dry Wheat'!$B$9*$A201</f>
        <v>25</v>
      </c>
      <c r="C201" s="134">
        <f>'Dry Wheat'!$B$9*(1-'Dry Wheat'!$E$9)*$A201</f>
        <v>16.75</v>
      </c>
      <c r="D201" s="134">
        <f>'Dry Wheat'!$B$9*'Dry Wheat'!$E$9*$A201</f>
        <v>8.25</v>
      </c>
      <c r="E201" s="217">
        <f>('Dry Wheat'!$F$44+($B201-B$199)*'Dry Wheat'!$D$26)/$B201</f>
        <v>4.5241084334117643</v>
      </c>
      <c r="F201" s="217">
        <f>('Dry Wheat'!$G$44+($C201-C$199)*'Dry Wheat'!$D$26)/$C201</f>
        <v>5.9464530573134322</v>
      </c>
      <c r="G201" s="219">
        <f>('Dry Wheat'!$F$58+($B201-B$199)*'Dry Wheat'!$D$26)/$B201</f>
        <v>6.6513084334117636</v>
      </c>
      <c r="H201" s="219">
        <f>('Dry Wheat'!$G$58+($C201-C$199)*'Dry Wheat'!$D$26)/$C201</f>
        <v>7.5392888782089544</v>
      </c>
      <c r="I201" s="219">
        <f>IF($D201=0, "N/A", ('Dry Wheat'!$H$58+($D201-D$199)*'Dry Wheat'!$D$26)/$D201)</f>
        <v>4.8026212121212124</v>
      </c>
    </row>
    <row r="202" spans="1:9" ht="13.35" customHeight="1" x14ac:dyDescent="0.25">
      <c r="A202" s="110"/>
      <c r="B202" s="110"/>
    </row>
    <row r="203" spans="1:9" ht="13.35" customHeight="1" x14ac:dyDescent="0.25">
      <c r="A203" s="325" t="str">
        <f>'Dry Other Crop'!$A$3:$H$3</f>
        <v>Dryland Other Crop</v>
      </c>
      <c r="B203" s="325"/>
      <c r="C203" s="325"/>
      <c r="D203" s="325"/>
      <c r="E203" s="325"/>
      <c r="F203" s="325"/>
      <c r="G203" s="325"/>
      <c r="H203" s="325"/>
      <c r="I203" s="325"/>
    </row>
    <row r="204" spans="1:9" ht="28.5" customHeight="1" x14ac:dyDescent="0.25">
      <c r="A204" s="278"/>
      <c r="B204" s="278"/>
      <c r="C204" s="279"/>
      <c r="D204" s="279"/>
      <c r="E204" s="326" t="s">
        <v>220</v>
      </c>
      <c r="F204" s="327"/>
      <c r="G204" s="328" t="s">
        <v>221</v>
      </c>
      <c r="H204" s="329"/>
      <c r="I204" s="329"/>
    </row>
    <row r="205" spans="1:9" ht="13.35" customHeight="1" x14ac:dyDescent="0.25">
      <c r="A205" s="211" t="s">
        <v>153</v>
      </c>
      <c r="B205" s="292" t="s">
        <v>252</v>
      </c>
      <c r="C205" s="127"/>
      <c r="D205" s="127"/>
      <c r="E205" s="216" t="s">
        <v>56</v>
      </c>
      <c r="F205" s="216" t="s">
        <v>52</v>
      </c>
      <c r="G205" s="218" t="s">
        <v>56</v>
      </c>
      <c r="H205" s="218" t="s">
        <v>52</v>
      </c>
      <c r="I205" s="218" t="s">
        <v>53</v>
      </c>
    </row>
    <row r="206" spans="1:9" ht="13.35" customHeight="1" x14ac:dyDescent="0.25">
      <c r="A206" s="213">
        <v>0.75</v>
      </c>
      <c r="B206" s="214">
        <f>'Dry Other Crop'!$B$9*$A206</f>
        <v>0</v>
      </c>
      <c r="C206" s="134">
        <f>'Dry Other Crop'!$B$9*(1-'Dry Other Crop'!$E$9)*$A206</f>
        <v>0</v>
      </c>
      <c r="D206" s="134">
        <f>'Dry Other Crop'!$B$9*'Dry Other Crop'!$E$9*$A206</f>
        <v>0</v>
      </c>
      <c r="E206" s="217" t="str">
        <f>IF($B206=0, "N/A", ('Dry Other Crop'!$F$44-'Dry Other Crop'!$F$10+($B206-$B$208)*'Dry Other Crop'!$D$26)/$B206)</f>
        <v>N/A</v>
      </c>
      <c r="F206" s="217" t="str">
        <f>IF($B206=0, "N/A",('Dry Other Crop'!$G$44-'Dry Other Crop'!$G$10+($C206-$C$208)*'Dry Other Crop'!$D$26)/$C206)</f>
        <v>N/A</v>
      </c>
      <c r="G206" s="219" t="str">
        <f>IF($B206=0, "N/A",('Dry Other Crop'!$F$58-'Dry Other Crop'!$F$10+($B206-$B$208)*'Dry Other Crop'!$D$26)/$B206)</f>
        <v>N/A</v>
      </c>
      <c r="H206" s="219" t="str">
        <f>IF($B206=0, "N/A",('Dry Other Crop'!$G$58-'Dry Other Crop'!$G$10+($C206-$C$208)*'Dry Other Crop'!$D$26)/$C206)</f>
        <v>N/A</v>
      </c>
      <c r="I206" s="219" t="str">
        <f>IF($D206=0, "N/A", ('Dry Other Crop'!$H$58-'Dry Other Crop'!$H$10+($D206-$D$208)*'Dry Other Crop'!$D$26)/$D206)</f>
        <v>N/A</v>
      </c>
    </row>
    <row r="207" spans="1:9" ht="13.35" customHeight="1" x14ac:dyDescent="0.25">
      <c r="A207" s="213">
        <v>0.9</v>
      </c>
      <c r="B207" s="214">
        <f>'Dry Other Crop'!$B$9*$A207</f>
        <v>0</v>
      </c>
      <c r="C207" s="134">
        <f>'Dry Other Crop'!$B$9*(1-'Dry Other Crop'!$E$9)*$A207</f>
        <v>0</v>
      </c>
      <c r="D207" s="134">
        <f>'Dry Other Crop'!$B$9*'Dry Other Crop'!$E$9*$A207</f>
        <v>0</v>
      </c>
      <c r="E207" s="217" t="str">
        <f>IF($B207=0, "N/A", ('Dry Other Crop'!$F$44-'Dry Other Crop'!$F$10+($B207-$B$208)*'Dry Other Crop'!$D$26)/$B207)</f>
        <v>N/A</v>
      </c>
      <c r="F207" s="217" t="str">
        <f>IF($B207=0, "N/A",('Dry Other Crop'!$G$44-'Dry Other Crop'!$G$10+($C207-$C$208)*'Dry Other Crop'!$D$26)/$C207)</f>
        <v>N/A</v>
      </c>
      <c r="G207" s="219" t="str">
        <f>IF($B207=0, "N/A",('Dry Other Crop'!$F$58-'Dry Other Crop'!$F$10+($B207-$B$208)*'Dry Other Crop'!$D$26)/$B207)</f>
        <v>N/A</v>
      </c>
      <c r="H207" s="219" t="str">
        <f>IF($B207=0, "N/A",('Dry Other Crop'!$G$58-'Dry Other Crop'!$G$10+($C207-$C$208)*'Dry Other Crop'!$D$26)/$C207)</f>
        <v>N/A</v>
      </c>
      <c r="I207" s="219" t="str">
        <f>IF($D207=0, "N/A", ('Dry Other Crop'!$H$58-'Dry Other Crop'!$H$10+($D207-$D$208)*'Dry Other Crop'!$D$26)/$D207)</f>
        <v>N/A</v>
      </c>
    </row>
    <row r="208" spans="1:9" ht="13.35" customHeight="1" x14ac:dyDescent="0.25">
      <c r="A208" s="215">
        <v>1</v>
      </c>
      <c r="B208" s="214">
        <f>'Dry Other Crop'!$B$9*$A208</f>
        <v>0</v>
      </c>
      <c r="C208" s="134">
        <f>'Dry Other Crop'!$B$9*(1-'Dry Other Crop'!$E$9)*$A208</f>
        <v>0</v>
      </c>
      <c r="D208" s="134">
        <f>'Dry Other Crop'!$B$9*'Dry Other Crop'!$E$9*$A208</f>
        <v>0</v>
      </c>
      <c r="E208" s="217" t="str">
        <f>IF($B208=0, "N/A", ('Dry Other Crop'!$F$44-'Dry Other Crop'!$F$10+($B208-$B$208)*'Dry Other Crop'!$D$26)/$B208)</f>
        <v>N/A</v>
      </c>
      <c r="F208" s="217" t="str">
        <f>IF($B208=0, "N/A",('Dry Other Crop'!$G$44-'Dry Other Crop'!$G$10+($C208-$C$208)*'Dry Other Crop'!$D$26)/$C208)</f>
        <v>N/A</v>
      </c>
      <c r="G208" s="219" t="str">
        <f>IF($B208=0, "N/A",('Dry Other Crop'!$F$58-'Dry Other Crop'!$F$10+($B208-$B$208)*'Dry Other Crop'!$D$26)/$B208)</f>
        <v>N/A</v>
      </c>
      <c r="H208" s="219" t="str">
        <f>IF($B208=0, "N/A",('Dry Other Crop'!$G$58-'Dry Other Crop'!$G$10+($C208-$C$208)*'Dry Other Crop'!$D$26)/$C208)</f>
        <v>N/A</v>
      </c>
      <c r="I208" s="219" t="str">
        <f>IF($D208=0, "N/A", ('Dry Other Crop'!$H$58-'Dry Other Crop'!$H$10+($D208-$D$208)*'Dry Other Crop'!$D$26)/$D208)</f>
        <v>N/A</v>
      </c>
    </row>
    <row r="209" spans="1:9" ht="13.35" customHeight="1" x14ac:dyDescent="0.25">
      <c r="A209" s="213">
        <v>1.1000000000000001</v>
      </c>
      <c r="B209" s="214">
        <f>'Dry Other Crop'!$B$9*$A209</f>
        <v>0</v>
      </c>
      <c r="C209" s="134">
        <f>'Dry Other Crop'!$B$9*(1-'Dry Other Crop'!$E$9)*$A209</f>
        <v>0</v>
      </c>
      <c r="D209" s="134">
        <f>'Dry Other Crop'!$B$9*'Dry Other Crop'!$E$9*$A209</f>
        <v>0</v>
      </c>
      <c r="E209" s="217" t="str">
        <f>IF($B209=0, "N/A", ('Dry Other Crop'!$F$44-'Dry Other Crop'!$F$10+($B209-$B$208)*'Dry Other Crop'!$D$26)/$B209)</f>
        <v>N/A</v>
      </c>
      <c r="F209" s="217" t="str">
        <f>IF($B209=0, "N/A",('Dry Other Crop'!$G$44-'Dry Other Crop'!$G$10+($C209-$C$208)*'Dry Other Crop'!$D$26)/$C209)</f>
        <v>N/A</v>
      </c>
      <c r="G209" s="219" t="str">
        <f>IF($B209=0, "N/A",('Dry Other Crop'!$F$58-'Dry Other Crop'!$F$10+($B209-$B$208)*'Dry Other Crop'!$D$26)/$B209)</f>
        <v>N/A</v>
      </c>
      <c r="H209" s="219" t="str">
        <f>IF($B209=0, "N/A",('Dry Other Crop'!$G$58-'Dry Other Crop'!$G$10+($C209-$C$208)*'Dry Other Crop'!$D$26)/$C209)</f>
        <v>N/A</v>
      </c>
      <c r="I209" s="219" t="str">
        <f>IF($D209=0, "N/A", ('Dry Other Crop'!$H$58-'Dry Other Crop'!$H$10+($D209-$D$208)*'Dry Other Crop'!$D$26)/$D209)</f>
        <v>N/A</v>
      </c>
    </row>
    <row r="210" spans="1:9" x14ac:dyDescent="0.25">
      <c r="A210" s="213">
        <v>1.25</v>
      </c>
      <c r="B210" s="214">
        <f>'Dry Other Crop'!$B$9*$A210</f>
        <v>0</v>
      </c>
      <c r="C210" s="134">
        <f>'Dry Other Crop'!$B$9*(1-'Dry Other Crop'!$E$9)*$A210</f>
        <v>0</v>
      </c>
      <c r="D210" s="134">
        <f>'Dry Other Crop'!$B$9*'Dry Other Crop'!$E$9*$A210</f>
        <v>0</v>
      </c>
      <c r="E210" s="217" t="str">
        <f>IF($B210=0, "N/A", ('Dry Other Crop'!$F$44-'Dry Other Crop'!$F$10+($B210-$B$208)*'Dry Other Crop'!$D$26)/$B210)</f>
        <v>N/A</v>
      </c>
      <c r="F210" s="217" t="str">
        <f>IF($B210=0, "N/A",('Dry Other Crop'!$G$44-'Dry Other Crop'!$G$10+($C210-$C$208)*'Dry Other Crop'!$D$26)/$C210)</f>
        <v>N/A</v>
      </c>
      <c r="G210" s="219" t="str">
        <f>IF($B210=0, "N/A",('Dry Other Crop'!$F$58-'Dry Other Crop'!$F$10+($B210-$B$208)*'Dry Other Crop'!$D$26)/$B210)</f>
        <v>N/A</v>
      </c>
      <c r="H210" s="219" t="str">
        <f>IF($B210=0, "N/A",('Dry Other Crop'!$G$58-'Dry Other Crop'!$G$10+($C210-$C$208)*'Dry Other Crop'!$D$26)/$C210)</f>
        <v>N/A</v>
      </c>
      <c r="I210" s="219" t="str">
        <f>IF($D210=0, "N/A", ('Dry Other Crop'!$H$58-'Dry Other Crop'!$H$10+($D210-$D$208)*'Dry Other Crop'!$D$26)/$D210)</f>
        <v>N/A</v>
      </c>
    </row>
    <row r="211" spans="1:9" x14ac:dyDescent="0.25">
      <c r="A211" s="110"/>
      <c r="B211" s="110"/>
    </row>
    <row r="213" spans="1:9" x14ac:dyDescent="0.25">
      <c r="A213" s="109"/>
    </row>
    <row r="214" spans="1:9" x14ac:dyDescent="0.25">
      <c r="A214" s="108"/>
    </row>
    <row r="215" spans="1:9" x14ac:dyDescent="0.25">
      <c r="A215" s="108"/>
    </row>
    <row r="216" spans="1:9" x14ac:dyDescent="0.25">
      <c r="A216" s="108"/>
    </row>
    <row r="217" spans="1:9" x14ac:dyDescent="0.25">
      <c r="A217" s="108"/>
    </row>
    <row r="218" spans="1:9" x14ac:dyDescent="0.25">
      <c r="A218" s="108"/>
    </row>
    <row r="220" spans="1:9" x14ac:dyDescent="0.25">
      <c r="A220" s="110"/>
      <c r="B220" s="110"/>
    </row>
    <row r="222" spans="1:9" x14ac:dyDescent="0.25">
      <c r="A222" s="109"/>
    </row>
    <row r="223" spans="1:9" x14ac:dyDescent="0.25">
      <c r="A223" s="108"/>
    </row>
    <row r="224" spans="1:9" x14ac:dyDescent="0.25">
      <c r="A224" s="108"/>
    </row>
    <row r="225" spans="1:2" x14ac:dyDescent="0.25">
      <c r="A225" s="108"/>
    </row>
    <row r="226" spans="1:2" x14ac:dyDescent="0.25">
      <c r="A226" s="108"/>
    </row>
    <row r="227" spans="1:2" x14ac:dyDescent="0.25">
      <c r="A227" s="108"/>
    </row>
    <row r="229" spans="1:2" x14ac:dyDescent="0.25">
      <c r="A229" s="110"/>
      <c r="B229" s="110"/>
    </row>
    <row r="231" spans="1:2" x14ac:dyDescent="0.25">
      <c r="A231" s="109"/>
    </row>
    <row r="232" spans="1:2" x14ac:dyDescent="0.25">
      <c r="A232" s="108"/>
    </row>
    <row r="233" spans="1:2" x14ac:dyDescent="0.25">
      <c r="A233" s="108"/>
    </row>
    <row r="234" spans="1:2" x14ac:dyDescent="0.25">
      <c r="A234" s="108"/>
    </row>
    <row r="235" spans="1:2" x14ac:dyDescent="0.25">
      <c r="A235" s="108"/>
    </row>
    <row r="236" spans="1:2" x14ac:dyDescent="0.25">
      <c r="A236" s="108"/>
    </row>
    <row r="238" spans="1:2" x14ac:dyDescent="0.25">
      <c r="A238" s="110"/>
      <c r="B238" s="110"/>
    </row>
    <row r="240" spans="1:2" x14ac:dyDescent="0.25">
      <c r="A240" s="109"/>
    </row>
    <row r="241" spans="1:1" x14ac:dyDescent="0.25">
      <c r="A241" s="108"/>
    </row>
    <row r="242" spans="1:1" x14ac:dyDescent="0.25">
      <c r="A242" s="108"/>
    </row>
    <row r="243" spans="1:1" x14ac:dyDescent="0.25">
      <c r="A243" s="108"/>
    </row>
    <row r="244" spans="1:1" x14ac:dyDescent="0.25">
      <c r="A244" s="108"/>
    </row>
    <row r="245" spans="1:1" x14ac:dyDescent="0.25">
      <c r="A245" s="108"/>
    </row>
    <row r="292" ht="13.35" customHeight="1" x14ac:dyDescent="0.25"/>
    <row r="293" ht="13.35" customHeight="1" x14ac:dyDescent="0.25"/>
    <row r="301" ht="13.35" customHeight="1" x14ac:dyDescent="0.25"/>
    <row r="302" ht="13.35" customHeight="1" x14ac:dyDescent="0.25"/>
  </sheetData>
  <sheetProtection sheet="1" objects="1" scenarios="1" formatColumns="0" formatRows="0" selectLockedCells="1"/>
  <mergeCells count="71">
    <mergeCell ref="A203:I203"/>
    <mergeCell ref="E204:F204"/>
    <mergeCell ref="G204:I204"/>
    <mergeCell ref="A185:I185"/>
    <mergeCell ref="E186:F186"/>
    <mergeCell ref="G186:I186"/>
    <mergeCell ref="A194:I194"/>
    <mergeCell ref="E195:F195"/>
    <mergeCell ref="G195:I195"/>
    <mergeCell ref="A167:I167"/>
    <mergeCell ref="E168:F168"/>
    <mergeCell ref="G168:I168"/>
    <mergeCell ref="A176:I176"/>
    <mergeCell ref="E177:F177"/>
    <mergeCell ref="G177:I177"/>
    <mergeCell ref="A149:I149"/>
    <mergeCell ref="E150:F150"/>
    <mergeCell ref="G150:I150"/>
    <mergeCell ref="A158:I158"/>
    <mergeCell ref="E159:F159"/>
    <mergeCell ref="G159:I159"/>
    <mergeCell ref="A104:I104"/>
    <mergeCell ref="E105:F105"/>
    <mergeCell ref="G105:I105"/>
    <mergeCell ref="A140:I140"/>
    <mergeCell ref="E141:F141"/>
    <mergeCell ref="G141:I141"/>
    <mergeCell ref="A113:I113"/>
    <mergeCell ref="E114:F114"/>
    <mergeCell ref="G114:I114"/>
    <mergeCell ref="A131:I131"/>
    <mergeCell ref="E132:F132"/>
    <mergeCell ref="G132:I132"/>
    <mergeCell ref="A122:I122"/>
    <mergeCell ref="E123:F123"/>
    <mergeCell ref="G123:I123"/>
    <mergeCell ref="E78:F78"/>
    <mergeCell ref="G78:I78"/>
    <mergeCell ref="A95:I95"/>
    <mergeCell ref="E96:F96"/>
    <mergeCell ref="G96:I96"/>
    <mergeCell ref="A86:I86"/>
    <mergeCell ref="E87:F87"/>
    <mergeCell ref="G87:I87"/>
    <mergeCell ref="A59:I59"/>
    <mergeCell ref="E51:F51"/>
    <mergeCell ref="G51:I51"/>
    <mergeCell ref="A50:I50"/>
    <mergeCell ref="E42:F42"/>
    <mergeCell ref="G42:I42"/>
    <mergeCell ref="A68:I68"/>
    <mergeCell ref="E69:F69"/>
    <mergeCell ref="G69:I69"/>
    <mergeCell ref="A77:I77"/>
    <mergeCell ref="G60:I60"/>
    <mergeCell ref="E60:F60"/>
    <mergeCell ref="A2:I2"/>
    <mergeCell ref="A3:I3"/>
    <mergeCell ref="A23:I23"/>
    <mergeCell ref="A32:I32"/>
    <mergeCell ref="A41:I41"/>
    <mergeCell ref="E33:F33"/>
    <mergeCell ref="E24:F24"/>
    <mergeCell ref="G24:I24"/>
    <mergeCell ref="A14:I14"/>
    <mergeCell ref="E15:F15"/>
    <mergeCell ref="G15:I15"/>
    <mergeCell ref="A5:I5"/>
    <mergeCell ref="E6:F6"/>
    <mergeCell ref="G33:I33"/>
    <mergeCell ref="G6:I6"/>
  </mergeCells>
  <phoneticPr fontId="23" type="noConversion"/>
  <printOptions horizontalCentered="1"/>
  <pageMargins left="0.25" right="0.25" top="0.75" bottom="0.75" header="0.3" footer="0.3"/>
  <pageSetup orientation="portrait" r:id="rId1"/>
  <headerFooter alignWithMargins="0">
    <oddFooter>&amp;C&amp;8Texas AgriLife Extension Service provides this software for educational use, solely on an “AS IS” basis and  assumes no liability for its use.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
    <pageSetUpPr fitToPage="1"/>
  </sheetPr>
  <dimension ref="A1:AE32"/>
  <sheetViews>
    <sheetView showGridLines="0" workbookViewId="0">
      <pane xSplit="4" ySplit="4" topLeftCell="E5" activePane="bottomRight" state="frozen"/>
      <selection activeCell="B9" sqref="B9"/>
      <selection pane="topRight" activeCell="B9" sqref="B9"/>
      <selection pane="bottomLeft" activeCell="B9" sqref="B9"/>
      <selection pane="bottomRight"/>
    </sheetView>
  </sheetViews>
  <sheetFormatPr defaultColWidth="9.109375" defaultRowHeight="13.2" x14ac:dyDescent="0.25"/>
  <cols>
    <col min="1" max="1" width="31.109375" style="85" customWidth="1"/>
    <col min="2" max="2" width="14.5546875" style="85" customWidth="1"/>
    <col min="3" max="4" width="13.6640625" style="85" customWidth="1"/>
    <col min="5" max="13" width="14.5546875" style="85" customWidth="1"/>
    <col min="14" max="14" width="6.44140625" style="137" hidden="1" customWidth="1"/>
    <col min="15" max="17" width="14.5546875" style="85" hidden="1" customWidth="1"/>
    <col min="18" max="20" width="14.5546875" style="85" customWidth="1"/>
    <col min="21" max="21" width="8.109375" style="85" customWidth="1"/>
    <col min="22" max="22" width="4.44140625" style="85" customWidth="1"/>
    <col min="23" max="25" width="14.5546875" style="85" customWidth="1"/>
    <col min="26" max="31" width="8.88671875" customWidth="1"/>
    <col min="32" max="16384" width="9.109375" style="85"/>
  </cols>
  <sheetData>
    <row r="1" spans="1:25" customFormat="1" ht="32.25" customHeight="1" x14ac:dyDescent="0.25">
      <c r="A1" s="77"/>
      <c r="B1" s="77"/>
      <c r="C1" s="77"/>
      <c r="D1" s="77"/>
      <c r="E1" s="77"/>
      <c r="F1" s="77"/>
      <c r="G1" s="77"/>
      <c r="H1" s="77"/>
      <c r="I1" s="77"/>
      <c r="J1" s="77"/>
      <c r="N1" s="77"/>
      <c r="O1" s="77"/>
      <c r="P1" s="77"/>
      <c r="Q1" s="77"/>
      <c r="R1" s="77"/>
    </row>
    <row r="2" spans="1:25" customFormat="1" ht="17.399999999999999" x14ac:dyDescent="0.3">
      <c r="A2" s="261" t="s">
        <v>83</v>
      </c>
      <c r="B2" s="198"/>
      <c r="C2" s="198"/>
      <c r="D2" s="198"/>
      <c r="E2" s="198"/>
      <c r="F2" s="198"/>
      <c r="G2" s="198"/>
      <c r="H2" s="4"/>
      <c r="I2" s="4"/>
      <c r="J2" s="4"/>
      <c r="K2" s="198"/>
      <c r="L2" s="4"/>
      <c r="M2" s="4"/>
      <c r="N2" s="4"/>
      <c r="O2" s="4"/>
      <c r="P2" s="4"/>
      <c r="Q2" s="4"/>
      <c r="R2" s="4"/>
      <c r="S2" s="4"/>
      <c r="T2" s="4"/>
      <c r="U2" s="4"/>
      <c r="V2" s="4"/>
      <c r="W2" s="4"/>
      <c r="X2" s="4"/>
      <c r="Y2" s="4"/>
    </row>
    <row r="3" spans="1:25" x14ac:dyDescent="0.25">
      <c r="A3" s="136" t="s">
        <v>269</v>
      </c>
      <c r="B3" s="136"/>
      <c r="C3" s="136"/>
      <c r="D3" s="136"/>
      <c r="E3" s="136"/>
      <c r="F3" s="136"/>
      <c r="G3" s="136"/>
      <c r="H3" s="136"/>
      <c r="I3" s="136"/>
      <c r="J3" s="136"/>
      <c r="K3" s="136"/>
      <c r="L3" s="136"/>
      <c r="M3" s="136"/>
      <c r="N3" s="138"/>
      <c r="O3" s="136"/>
      <c r="P3" s="136"/>
      <c r="Q3" s="136"/>
      <c r="R3" s="136"/>
      <c r="S3" s="136"/>
      <c r="T3" s="136"/>
      <c r="U3" s="136"/>
      <c r="V3" s="136"/>
      <c r="W3" s="129"/>
      <c r="X3" s="129"/>
      <c r="Y3" s="129"/>
    </row>
    <row r="4" spans="1:25" x14ac:dyDescent="0.25">
      <c r="A4" s="120"/>
      <c r="B4" s="121"/>
      <c r="C4" s="121"/>
      <c r="D4" s="121"/>
      <c r="E4" s="129"/>
      <c r="F4" s="129"/>
      <c r="G4" s="129"/>
      <c r="H4" s="129"/>
      <c r="I4" s="129"/>
      <c r="J4" s="129"/>
      <c r="K4" s="129"/>
      <c r="L4" s="129"/>
      <c r="M4" s="129"/>
      <c r="N4" s="259"/>
      <c r="O4" s="129"/>
      <c r="P4" s="129"/>
      <c r="Q4" s="129"/>
      <c r="R4" s="129"/>
      <c r="S4" s="129"/>
      <c r="T4" s="129"/>
      <c r="U4" s="129"/>
      <c r="V4" s="129"/>
      <c r="W4" s="129"/>
      <c r="X4" s="129"/>
      <c r="Y4" s="129"/>
    </row>
    <row r="5" spans="1:25" ht="39" customHeight="1" x14ac:dyDescent="0.25">
      <c r="A5" s="93"/>
      <c r="B5" s="330" t="s">
        <v>180</v>
      </c>
      <c r="C5" s="330"/>
      <c r="D5" s="330"/>
      <c r="E5" s="332" t="s">
        <v>205</v>
      </c>
      <c r="F5" s="332"/>
      <c r="G5" s="332"/>
      <c r="H5" s="330" t="s">
        <v>213</v>
      </c>
      <c r="I5" s="330"/>
      <c r="J5" s="330"/>
      <c r="K5" s="333" t="s">
        <v>212</v>
      </c>
      <c r="L5" s="333"/>
      <c r="M5" s="333"/>
      <c r="N5" s="220"/>
      <c r="O5" s="330" t="s">
        <v>215</v>
      </c>
      <c r="P5" s="330"/>
      <c r="Q5" s="330"/>
      <c r="R5" s="330" t="s">
        <v>214</v>
      </c>
      <c r="S5" s="330"/>
      <c r="T5" s="330"/>
      <c r="U5" s="233"/>
      <c r="V5" s="233"/>
      <c r="W5" s="331" t="s">
        <v>216</v>
      </c>
      <c r="X5" s="331"/>
      <c r="Y5" s="331"/>
    </row>
    <row r="6" spans="1:25" ht="18.75" customHeight="1" x14ac:dyDescent="0.25">
      <c r="A6" s="93"/>
      <c r="B6" s="128" t="s">
        <v>56</v>
      </c>
      <c r="C6" s="122" t="s">
        <v>52</v>
      </c>
      <c r="D6" s="123" t="s">
        <v>53</v>
      </c>
      <c r="E6" s="224" t="s">
        <v>56</v>
      </c>
      <c r="F6" s="225" t="s">
        <v>52</v>
      </c>
      <c r="G6" s="224" t="s">
        <v>53</v>
      </c>
      <c r="H6" s="128" t="s">
        <v>56</v>
      </c>
      <c r="I6" s="122" t="s">
        <v>52</v>
      </c>
      <c r="J6" s="123" t="s">
        <v>53</v>
      </c>
      <c r="K6" s="227" t="s">
        <v>56</v>
      </c>
      <c r="L6" s="228" t="s">
        <v>52</v>
      </c>
      <c r="M6" s="227" t="s">
        <v>53</v>
      </c>
      <c r="N6" s="139" t="s">
        <v>181</v>
      </c>
      <c r="O6" s="141" t="s">
        <v>56</v>
      </c>
      <c r="P6" s="142" t="s">
        <v>52</v>
      </c>
      <c r="Q6" s="143" t="s">
        <v>53</v>
      </c>
      <c r="R6" s="141" t="s">
        <v>56</v>
      </c>
      <c r="S6" s="142" t="s">
        <v>52</v>
      </c>
      <c r="T6" s="143" t="s">
        <v>53</v>
      </c>
      <c r="U6" s="222" t="s">
        <v>6</v>
      </c>
      <c r="V6" s="222" t="s">
        <v>170</v>
      </c>
      <c r="W6" s="231" t="s">
        <v>56</v>
      </c>
      <c r="X6" s="232" t="s">
        <v>52</v>
      </c>
      <c r="Y6" s="231" t="s">
        <v>53</v>
      </c>
    </row>
    <row r="7" spans="1:25" ht="16.5" customHeight="1" x14ac:dyDescent="0.25">
      <c r="A7" s="284" t="str">
        <f>'Irr Alfalfa'!$A$3:$H$3</f>
        <v xml:space="preserve">Irrigated Alfalfa </v>
      </c>
      <c r="B7" s="124">
        <f>'Irr Alfalfa'!F$12</f>
        <v>770</v>
      </c>
      <c r="C7" s="124">
        <f>'Irr Alfalfa'!G$12</f>
        <v>515.9</v>
      </c>
      <c r="D7" s="124">
        <f>'Irr Alfalfa'!H$12</f>
        <v>254.10000000000002</v>
      </c>
      <c r="E7" s="226">
        <f>'Irr Alfalfa'!F$48</f>
        <v>498.91535921126456</v>
      </c>
      <c r="F7" s="226">
        <f>'Irr Alfalfa'!G$48</f>
        <v>450.16304143845991</v>
      </c>
      <c r="G7" s="226">
        <f>'Irr Alfalfa'!H$48</f>
        <v>51.378756000000003</v>
      </c>
      <c r="H7" s="283">
        <f t="shared" ref="H7:H29" si="0">B7-E7</f>
        <v>271.08464078873544</v>
      </c>
      <c r="I7" s="283">
        <f t="shared" ref="I7:I29" si="1">C7-F7</f>
        <v>65.736958561540064</v>
      </c>
      <c r="J7" s="283">
        <f t="shared" ref="J7:J29" si="2">D7-G7</f>
        <v>202.72124400000001</v>
      </c>
      <c r="K7" s="229">
        <f>'Irr Alfalfa'!F$63</f>
        <v>774.21535921126451</v>
      </c>
      <c r="L7" s="229">
        <f>'Irr Alfalfa'!G$63</f>
        <v>605.46304143845987</v>
      </c>
      <c r="M7" s="229">
        <f>'Irr Alfalfa'!H$63</f>
        <v>171.37875600000001</v>
      </c>
      <c r="N7" s="139">
        <f>'Irr Alfalfa'!B37</f>
        <v>24</v>
      </c>
      <c r="O7" s="221">
        <f t="shared" ref="O7:O21" si="3">IF($N7=0,"-",H7/$N7)</f>
        <v>11.29519336619731</v>
      </c>
      <c r="P7" s="221">
        <f t="shared" ref="P7:P21" si="4">IF($N7=0,"-",I7/$N7)</f>
        <v>2.7390399400641692</v>
      </c>
      <c r="Q7" s="221">
        <f t="shared" ref="Q7:Q21" si="5">IF($N7=0,"-",J7/$N7)</f>
        <v>8.4467185000000011</v>
      </c>
      <c r="R7" s="283">
        <f t="shared" ref="R7:R29" si="6">B7-K7</f>
        <v>-4.2153592112645129</v>
      </c>
      <c r="S7" s="283">
        <f t="shared" ref="S7:S29" si="7">C7-L7</f>
        <v>-89.563041438459891</v>
      </c>
      <c r="T7" s="283">
        <f t="shared" ref="T7:T29" si="8">D7-M7</f>
        <v>82.721244000000013</v>
      </c>
      <c r="U7" s="223">
        <f>'Irr Alfalfa'!$D$9</f>
        <v>140</v>
      </c>
      <c r="V7" s="223" t="str">
        <f>'Irr Alfalfa'!$C$9</f>
        <v>ton</v>
      </c>
      <c r="W7" s="309">
        <f>IF($U7=0, 0, K7/$U7)</f>
        <v>5.5301097086518896</v>
      </c>
      <c r="X7" s="309">
        <f>IF($U7=0, 0, IF('Irr Alfalfa'!$E$9=0,0,L7/$U7/(1-'Irr Alfalfa'!$E$9)))</f>
        <v>6.4548298660816625</v>
      </c>
      <c r="Y7" s="309">
        <f>IF($U7=0, 0, IF('Irr Alfalfa'!$E$9=0,0,M7/$U7/('Irr Alfalfa'!$E$9)))</f>
        <v>3.7094968831168833</v>
      </c>
    </row>
    <row r="8" spans="1:25" ht="16.5" customHeight="1" x14ac:dyDescent="0.25">
      <c r="A8" s="284" t="str">
        <f>'Irr Canola'!$A$3:$H$3</f>
        <v>Irrigated Canola</v>
      </c>
      <c r="B8" s="124">
        <f>'Irr Canola'!F$12</f>
        <v>305.8</v>
      </c>
      <c r="C8" s="124">
        <f>'Irr Canola'!G$12</f>
        <v>204.886</v>
      </c>
      <c r="D8" s="124">
        <f>'Irr Canola'!H$12</f>
        <v>100.914</v>
      </c>
      <c r="E8" s="226">
        <f>'Irr Canola'!F$49</f>
        <v>284.27470503379925</v>
      </c>
      <c r="F8" s="226">
        <f>'Irr Canola'!G$49</f>
        <v>245.54522746916655</v>
      </c>
      <c r="G8" s="226">
        <f>'Irr Canola'!H$49</f>
        <v>38.202754846467393</v>
      </c>
      <c r="H8" s="283">
        <f t="shared" si="0"/>
        <v>21.525294966200761</v>
      </c>
      <c r="I8" s="283">
        <f t="shared" si="1"/>
        <v>-40.659227469166552</v>
      </c>
      <c r="J8" s="283">
        <f t="shared" si="2"/>
        <v>62.711245153532609</v>
      </c>
      <c r="K8" s="229">
        <f>'Irr Canola'!F$63</f>
        <v>444.06470503379921</v>
      </c>
      <c r="L8" s="229">
        <f>'Irr Canola'!G$63</f>
        <v>333.33522746916651</v>
      </c>
      <c r="M8" s="229">
        <f>'Irr Canola'!H$63</f>
        <v>110.2027548464674</v>
      </c>
      <c r="N8" s="139">
        <f>'Irr Canola'!B38</f>
        <v>10</v>
      </c>
      <c r="O8" s="221">
        <f t="shared" si="3"/>
        <v>2.1525294966200761</v>
      </c>
      <c r="P8" s="221">
        <f t="shared" si="4"/>
        <v>-4.0659227469166552</v>
      </c>
      <c r="Q8" s="221">
        <f t="shared" si="5"/>
        <v>6.2711245153532609</v>
      </c>
      <c r="R8" s="283">
        <f t="shared" si="6"/>
        <v>-138.2647050337992</v>
      </c>
      <c r="S8" s="283">
        <f t="shared" si="7"/>
        <v>-128.44922746916652</v>
      </c>
      <c r="T8" s="283">
        <f t="shared" si="8"/>
        <v>-9.2887548464673984</v>
      </c>
      <c r="U8" s="223">
        <f>'Irr Canola'!$D$9</f>
        <v>13.9</v>
      </c>
      <c r="V8" s="223" t="str">
        <f>'Irr Canola'!$C$9</f>
        <v>cwt</v>
      </c>
      <c r="W8" s="309">
        <f t="shared" ref="W8:W27" si="9">IF($U8=0, 0, K8/$U8)</f>
        <v>31.947101081568288</v>
      </c>
      <c r="X8" s="309">
        <f>IF($U8=0, 0, IF('Irr Canola'!$E$9=0,0,L8/$U8/(1-'Irr Canola'!$E$9)))</f>
        <v>35.792465099234029</v>
      </c>
      <c r="Y8" s="309">
        <f>IF($U8=0, 0, IF('Irr Canola'!$E$9=0,0,M8/$U8/('Irr Canola'!$E$9)))</f>
        <v>24.025017407121734</v>
      </c>
    </row>
    <row r="9" spans="1:25" ht="16.5" customHeight="1" x14ac:dyDescent="0.25">
      <c r="A9" s="284" t="str">
        <f>'Irr Corn'!$A$3:$H$3</f>
        <v>Irrigated Corn</v>
      </c>
      <c r="B9" s="124">
        <f>'Irr Corn'!F$12</f>
        <v>855</v>
      </c>
      <c r="C9" s="124">
        <f>'Irr Corn'!G$12</f>
        <v>572.84999999999991</v>
      </c>
      <c r="D9" s="124">
        <f>'Irr Corn'!H$12</f>
        <v>120</v>
      </c>
      <c r="E9" s="226">
        <f>'Irr Corn'!F$47</f>
        <v>639.50824301855073</v>
      </c>
      <c r="F9" s="226">
        <f>'Irr Corn'!G$47</f>
        <v>555.81520217816728</v>
      </c>
      <c r="G9" s="226">
        <f>'Irr Corn'!H$47</f>
        <v>88.385080265625007</v>
      </c>
      <c r="H9" s="283">
        <f t="shared" si="0"/>
        <v>215.49175698144927</v>
      </c>
      <c r="I9" s="283">
        <f t="shared" si="1"/>
        <v>17.034797821832626</v>
      </c>
      <c r="J9" s="283">
        <f t="shared" si="2"/>
        <v>31.614919734374993</v>
      </c>
      <c r="K9" s="229">
        <f>'Irr Corn'!F$61</f>
        <v>868.50824301855073</v>
      </c>
      <c r="L9" s="229">
        <f>'Irr Corn'!G$61</f>
        <v>784.81520217816728</v>
      </c>
      <c r="M9" s="229">
        <f>'Irr Corn'!H$61</f>
        <v>88.385080265625007</v>
      </c>
      <c r="N9" s="139">
        <f>'Irr Corn'!B36</f>
        <v>22</v>
      </c>
      <c r="O9" s="221">
        <f t="shared" si="3"/>
        <v>9.7950798627931484</v>
      </c>
      <c r="P9" s="221">
        <f t="shared" si="4"/>
        <v>0.77430899190148306</v>
      </c>
      <c r="Q9" s="221">
        <f t="shared" si="5"/>
        <v>1.4370418061079542</v>
      </c>
      <c r="R9" s="283">
        <f t="shared" si="6"/>
        <v>-13.508243018550729</v>
      </c>
      <c r="S9" s="283">
        <f t="shared" si="7"/>
        <v>-211.96520217816737</v>
      </c>
      <c r="T9" s="283">
        <f t="shared" si="8"/>
        <v>31.614919734374993</v>
      </c>
      <c r="U9" s="223">
        <f>'Irr Corn'!$D$9</f>
        <v>3.8</v>
      </c>
      <c r="V9" s="223" t="str">
        <f>'Irr Corn'!$C$9</f>
        <v>bu</v>
      </c>
      <c r="W9" s="309">
        <f t="shared" si="9"/>
        <v>228.55480079435546</v>
      </c>
      <c r="X9" s="309">
        <f>IF($U9=0, 0, IF('Irr Corn'!$E$9=0,0,L9/$U9/(1-'Irr Corn'!$E$9)))</f>
        <v>308.25420352638156</v>
      </c>
      <c r="Y9" s="309">
        <f>IF($U9=0, 0, IF('Irr Corn'!$E$9=0,0,M9/$U9/('Irr Corn'!$E$9)))</f>
        <v>70.482520148026325</v>
      </c>
    </row>
    <row r="10" spans="1:25" ht="16.5" customHeight="1" x14ac:dyDescent="0.25">
      <c r="A10" s="284" t="str">
        <f>'Irr Corn Silage'!$A$3:$H$3</f>
        <v>Irrigated Corn Silage</v>
      </c>
      <c r="B10" s="124">
        <f>'Irr Corn Silage'!F$12</f>
        <v>947.7</v>
      </c>
      <c r="C10" s="124">
        <f>'Irr Corn Silage'!G$12</f>
        <v>634.95899999999995</v>
      </c>
      <c r="D10" s="124">
        <f>'Irr Corn Silage'!H$12</f>
        <v>312.74100000000004</v>
      </c>
      <c r="E10" s="226">
        <f>'Irr Corn Silage'!F$47</f>
        <v>805.27440246607102</v>
      </c>
      <c r="F10" s="226">
        <f>'Irr Corn Silage'!G$47</f>
        <v>722.69804083717941</v>
      </c>
      <c r="G10" s="226">
        <f>'Irr Corn Silage'!H$47</f>
        <v>87.537805265625011</v>
      </c>
      <c r="H10" s="283">
        <f t="shared" si="0"/>
        <v>142.42559753392902</v>
      </c>
      <c r="I10" s="283">
        <f t="shared" si="1"/>
        <v>-87.739040837179459</v>
      </c>
      <c r="J10" s="283">
        <f t="shared" si="2"/>
        <v>225.20319473437502</v>
      </c>
      <c r="K10" s="229">
        <f>'Irr Corn Silage'!F$61</f>
        <v>1038.584402466071</v>
      </c>
      <c r="L10" s="229">
        <f>'Irr Corn Silage'!G$61</f>
        <v>836.00804083717935</v>
      </c>
      <c r="M10" s="229">
        <f>'Irr Corn Silage'!H$61</f>
        <v>207.53780526562502</v>
      </c>
      <c r="N10" s="139">
        <f>'Irr Corn Silage'!B36</f>
        <v>20</v>
      </c>
      <c r="O10" s="221">
        <f t="shared" si="3"/>
        <v>7.1212798766964509</v>
      </c>
      <c r="P10" s="221">
        <f t="shared" si="4"/>
        <v>-4.3869520418589731</v>
      </c>
      <c r="Q10" s="221">
        <f t="shared" si="5"/>
        <v>11.260159736718752</v>
      </c>
      <c r="R10" s="283">
        <f t="shared" si="6"/>
        <v>-90.884402466070924</v>
      </c>
      <c r="S10" s="283">
        <f t="shared" si="7"/>
        <v>-201.0490408371794</v>
      </c>
      <c r="T10" s="283">
        <f t="shared" si="8"/>
        <v>105.20319473437502</v>
      </c>
      <c r="U10" s="223">
        <f>'Irr Corn Silage'!$D$9</f>
        <v>35.1</v>
      </c>
      <c r="V10" s="223" t="str">
        <f>'Irr Corn Silage'!$C$9</f>
        <v>ton</v>
      </c>
      <c r="W10" s="309">
        <f t="shared" si="9"/>
        <v>29.589299215557578</v>
      </c>
      <c r="X10" s="309">
        <f>IF($U10=0, 0, IF('Irr Corn Silage'!$E$9=0,0,L10/$U10/(1-'Irr Corn Silage'!$E$9)))</f>
        <v>35.549093882603202</v>
      </c>
      <c r="Y10" s="309">
        <f>IF($U10=0, 0, IF('Irr Corn Silage'!$E$9=0,0,M10/$U10/('Irr Corn Silage'!$E$9)))</f>
        <v>17.917448438714064</v>
      </c>
    </row>
    <row r="11" spans="1:25" ht="16.5" customHeight="1" x14ac:dyDescent="0.25">
      <c r="A11" s="284" t="str">
        <f>'Irr Cotton'!$A$3:$H$3</f>
        <v>Irrigated Cotton</v>
      </c>
      <c r="B11" s="124">
        <f>'Irr Cotton'!F$13</f>
        <v>1000</v>
      </c>
      <c r="C11" s="124">
        <f>'Irr Cotton'!G$13</f>
        <v>669.99999999999989</v>
      </c>
      <c r="D11" s="124">
        <f>'Irr Cotton'!H$13</f>
        <v>330</v>
      </c>
      <c r="E11" s="226">
        <f>'Irr Cotton'!F$52</f>
        <v>647.04531034463025</v>
      </c>
      <c r="F11" s="226">
        <f>'Irr Cotton'!G$52</f>
        <v>528.05598326777215</v>
      </c>
      <c r="G11" s="226">
        <f>'Irr Cotton'!H$52</f>
        <v>118.13391661914639</v>
      </c>
      <c r="H11" s="283">
        <f t="shared" si="0"/>
        <v>352.95468965536975</v>
      </c>
      <c r="I11" s="283">
        <f t="shared" si="1"/>
        <v>141.94401673222774</v>
      </c>
      <c r="J11" s="283">
        <f t="shared" si="2"/>
        <v>211.86608338085361</v>
      </c>
      <c r="K11" s="229">
        <f>'Irr Cotton'!F$66</f>
        <v>799.33531034463022</v>
      </c>
      <c r="L11" s="229">
        <f>'Irr Cotton'!G$66</f>
        <v>608.34598326777211</v>
      </c>
      <c r="M11" s="229">
        <f>'Irr Cotton'!H$66</f>
        <v>190.13391661914639</v>
      </c>
      <c r="N11" s="139">
        <f>'Irr Cotton'!B41</f>
        <v>12</v>
      </c>
      <c r="O11" s="221">
        <f t="shared" si="3"/>
        <v>29.412890804614147</v>
      </c>
      <c r="P11" s="221">
        <f t="shared" si="4"/>
        <v>11.828668061018979</v>
      </c>
      <c r="Q11" s="221">
        <f t="shared" si="5"/>
        <v>17.655506948404469</v>
      </c>
      <c r="R11" s="283">
        <f t="shared" si="6"/>
        <v>200.66468965536978</v>
      </c>
      <c r="S11" s="283">
        <f t="shared" si="7"/>
        <v>61.654016732227774</v>
      </c>
      <c r="T11" s="283">
        <f t="shared" si="8"/>
        <v>139.86608338085361</v>
      </c>
      <c r="U11" s="223">
        <f>'Irr Cotton'!$D$9</f>
        <v>0.65</v>
      </c>
      <c r="V11" s="234" t="str">
        <f>'Irr Cotton'!$C$9</f>
        <v>lb</v>
      </c>
      <c r="W11" s="309">
        <f>IF($U11=0, 0, K11/($U11+Cottonseed_Price/2000*'Universal Input Prices'!$B$39/500))</f>
        <v>999.16913793078777</v>
      </c>
      <c r="X11" s="309">
        <f>IF($U11=0, 0, IF('Irr Cotton'!$E$9=0,0,L11/($U11+Cottonseed_Price/2000*'Universal Input Prices'!$B$39/500)/(1-'Irr Cotton'!$E$9)))</f>
        <v>1134.9738493801719</v>
      </c>
      <c r="Y11" s="309">
        <f>IF($U11=0, 0, IF('Irr Cotton'!$E$9=0,0,M11/($U11+Cottonseed_Price/2000*'Universal Input Prices'!$B$39/500)/('Irr Cotton'!$E$9)))</f>
        <v>720.20422961797874</v>
      </c>
    </row>
    <row r="12" spans="1:25" ht="16.5" customHeight="1" x14ac:dyDescent="0.25">
      <c r="A12" s="284" t="str">
        <f>'Irr Peanuts'!$A$3:$H$3</f>
        <v>Irrigated Peanuts</v>
      </c>
      <c r="B12" s="124">
        <f>'Irr Peanuts'!F$12</f>
        <v>945</v>
      </c>
      <c r="C12" s="124">
        <f>'Irr Peanuts'!G$12</f>
        <v>633.15</v>
      </c>
      <c r="D12" s="124">
        <f>'Irr Peanuts'!H$12</f>
        <v>311.85000000000002</v>
      </c>
      <c r="E12" s="226">
        <f>'Irr Peanuts'!F$51</f>
        <v>741.57218795858273</v>
      </c>
      <c r="F12" s="226">
        <f>'Irr Peanuts'!G$51</f>
        <v>653.95046023780435</v>
      </c>
      <c r="G12" s="226">
        <f>'Irr Peanuts'!H$51</f>
        <v>90.636351658695659</v>
      </c>
      <c r="H12" s="283">
        <f t="shared" si="0"/>
        <v>203.42781204141727</v>
      </c>
      <c r="I12" s="283">
        <f t="shared" si="1"/>
        <v>-20.800460237804373</v>
      </c>
      <c r="J12" s="283">
        <f t="shared" si="2"/>
        <v>221.21364834130435</v>
      </c>
      <c r="K12" s="229">
        <f>'Irr Peanuts'!F$65</f>
        <v>949.7321879585827</v>
      </c>
      <c r="L12" s="229">
        <f>'Irr Peanuts'!G$65</f>
        <v>790.11046023780432</v>
      </c>
      <c r="M12" s="229">
        <f>'Irr Peanuts'!H$65</f>
        <v>162.63635165869567</v>
      </c>
      <c r="N12" s="139">
        <f>'Irr Peanuts'!B40</f>
        <v>21</v>
      </c>
      <c r="O12" s="221">
        <f t="shared" si="3"/>
        <v>9.6870386686389178</v>
      </c>
      <c r="P12" s="221">
        <f t="shared" si="4"/>
        <v>-0.99049810656211301</v>
      </c>
      <c r="Q12" s="221">
        <f t="shared" si="5"/>
        <v>10.533983254347826</v>
      </c>
      <c r="R12" s="283">
        <f t="shared" si="6"/>
        <v>-4.7321879585826991</v>
      </c>
      <c r="S12" s="283">
        <f t="shared" si="7"/>
        <v>-156.96046023780434</v>
      </c>
      <c r="T12" s="283">
        <f t="shared" si="8"/>
        <v>149.21364834130435</v>
      </c>
      <c r="U12" s="223">
        <f>'Irr Peanuts'!$D$9</f>
        <v>420</v>
      </c>
      <c r="V12" s="223" t="str">
        <f>'Irr Peanuts'!$C$9</f>
        <v>ton</v>
      </c>
      <c r="W12" s="309">
        <f t="shared" si="9"/>
        <v>2.2612671141871017</v>
      </c>
      <c r="X12" s="309">
        <f>IF($U12=0, 0, IF('Irr Peanuts'!$E$9=0,0,L12/$U12/(1-'Irr Peanuts'!$E$9)))</f>
        <v>2.8077841515202713</v>
      </c>
      <c r="Y12" s="309">
        <f>IF($U12=0, 0, IF('Irr Peanuts'!$E$9=0,0,M12/$U12/('Irr Peanuts'!$E$9)))</f>
        <v>1.1734224506399398</v>
      </c>
    </row>
    <row r="13" spans="1:25" ht="16.5" customHeight="1" x14ac:dyDescent="0.25">
      <c r="A13" s="284" t="str">
        <f>'Irr Sorghum'!$A$3:$H$3</f>
        <v>Irrigated Sorghum</v>
      </c>
      <c r="B13" s="124">
        <f>'Irr Sorghum'!F$12</f>
        <v>345</v>
      </c>
      <c r="C13" s="124">
        <f>'Irr Sorghum'!G$12</f>
        <v>231.14999999999998</v>
      </c>
      <c r="D13" s="124">
        <f>'Irr Sorghum'!H$12</f>
        <v>113.85000000000001</v>
      </c>
      <c r="E13" s="226">
        <f>'Irr Sorghum'!F$46</f>
        <v>337.83101785584927</v>
      </c>
      <c r="F13" s="226">
        <f>'Irr Sorghum'!G$46</f>
        <v>275.89486968429907</v>
      </c>
      <c r="G13" s="226">
        <f>'Irr Sorghum'!H$46</f>
        <v>63.452287067812506</v>
      </c>
      <c r="H13" s="283">
        <f t="shared" si="0"/>
        <v>7.168982144150732</v>
      </c>
      <c r="I13" s="283">
        <f t="shared" si="1"/>
        <v>-44.74486968429909</v>
      </c>
      <c r="J13" s="283">
        <f t="shared" si="2"/>
        <v>50.397712932187503</v>
      </c>
      <c r="K13" s="229">
        <f>'Irr Sorghum'!F$60</f>
        <v>517.50101785584934</v>
      </c>
      <c r="L13" s="229">
        <f>'Irr Sorghum'!G$60</f>
        <v>383.56486968429908</v>
      </c>
      <c r="M13" s="229">
        <f>'Irr Sorghum'!H$60</f>
        <v>135.45228706781251</v>
      </c>
      <c r="N13" s="139">
        <f>'Irr Sorghum'!B35</f>
        <v>10</v>
      </c>
      <c r="O13" s="221">
        <f t="shared" si="3"/>
        <v>0.71689821441507318</v>
      </c>
      <c r="P13" s="221">
        <f t="shared" si="4"/>
        <v>-4.4744869684299093</v>
      </c>
      <c r="Q13" s="221">
        <f t="shared" si="5"/>
        <v>5.0397712932187506</v>
      </c>
      <c r="R13" s="283">
        <f t="shared" si="6"/>
        <v>-172.50101785584934</v>
      </c>
      <c r="S13" s="283">
        <f t="shared" si="7"/>
        <v>-152.41486968429911</v>
      </c>
      <c r="T13" s="283">
        <f t="shared" si="8"/>
        <v>-21.602287067812497</v>
      </c>
      <c r="U13" s="223">
        <f>'Irr Sorghum'!$D$9</f>
        <v>5.75</v>
      </c>
      <c r="V13" s="223" t="str">
        <f>'Irr Sorghum'!$C$9</f>
        <v>cwt</v>
      </c>
      <c r="W13" s="309">
        <f>IF($U13=0, 0, (K13-'Irr Sorghum'!F$10)/$U13)</f>
        <v>90.000177018408579</v>
      </c>
      <c r="X13" s="309">
        <f>IF($U13=0, 0, IF('Irr Sorghum'!$E$9=0,0,(L13-'Irr Sorghum'!F$10)/$U13/(1-'Irr Sorghum'!$E$9)))</f>
        <v>99.562587847968615</v>
      </c>
      <c r="Y13" s="309">
        <f>IF($U13=0, 0, IF('Irr Sorghum'!$E$9=0,0,(M13-'Irr Sorghum'!F$10)/$U13/('Irr Sorghum'!$E$9)))</f>
        <v>71.384604515316198</v>
      </c>
    </row>
    <row r="14" spans="1:25" ht="16.5" customHeight="1" x14ac:dyDescent="0.25">
      <c r="A14" s="284" t="str">
        <f>'Irr Sorghum Seed'!$A$3:$H$3</f>
        <v xml:space="preserve">Irrigated Sorghum Seed </v>
      </c>
      <c r="B14" s="124">
        <f>'Irr Sorghum Seed'!F$12</f>
        <v>760.49999999999989</v>
      </c>
      <c r="C14" s="124">
        <f>'Irr Sorghum Seed'!G$12</f>
        <v>509.53499999999985</v>
      </c>
      <c r="D14" s="124">
        <f>'Irr Sorghum Seed'!H$12</f>
        <v>250.96499999999997</v>
      </c>
      <c r="E14" s="226">
        <f>'Irr Sorghum Seed'!F$46</f>
        <v>377.21626274769233</v>
      </c>
      <c r="F14" s="226">
        <f>'Irr Sorghum Seed'!G$46</f>
        <v>304.69278723074996</v>
      </c>
      <c r="G14" s="226">
        <f>'Irr Sorghum Seed'!H$46</f>
        <v>74.592523541250017</v>
      </c>
      <c r="H14" s="283">
        <f t="shared" si="0"/>
        <v>383.28373725230756</v>
      </c>
      <c r="I14" s="283">
        <f t="shared" si="1"/>
        <v>204.8422127692499</v>
      </c>
      <c r="J14" s="283">
        <f t="shared" si="2"/>
        <v>176.37247645874996</v>
      </c>
      <c r="K14" s="229">
        <f>'Irr Sorghum Seed'!F$60</f>
        <v>547.10626274769231</v>
      </c>
      <c r="L14" s="229">
        <f>'Irr Sorghum Seed'!G$60</f>
        <v>402.58278723074994</v>
      </c>
      <c r="M14" s="229">
        <f>'Irr Sorghum Seed'!H$60</f>
        <v>146.59252354125002</v>
      </c>
      <c r="N14" s="139">
        <f>'Irr Sorghum Seed'!B35</f>
        <v>16</v>
      </c>
      <c r="O14" s="221">
        <f t="shared" si="3"/>
        <v>23.955233578269223</v>
      </c>
      <c r="P14" s="221">
        <f t="shared" si="4"/>
        <v>12.802638298078119</v>
      </c>
      <c r="Q14" s="221">
        <f t="shared" si="5"/>
        <v>11.023279778671872</v>
      </c>
      <c r="R14" s="283">
        <f t="shared" si="6"/>
        <v>213.39373725230757</v>
      </c>
      <c r="S14" s="283">
        <f t="shared" si="7"/>
        <v>106.95221276924991</v>
      </c>
      <c r="T14" s="283">
        <f t="shared" si="8"/>
        <v>104.37247645874996</v>
      </c>
      <c r="U14" s="223">
        <f>'Irr Sorghum Seed'!$D$9</f>
        <v>16.899999999999999</v>
      </c>
      <c r="V14" s="223" t="str">
        <f>'Irr Sorghum Seed'!$C$9</f>
        <v>cwt</v>
      </c>
      <c r="W14" s="309">
        <f>IF($U14=0, 0, (K14-'Irr Sorghum Seed'!F$10)/$U14)</f>
        <v>32.373151641875289</v>
      </c>
      <c r="X14" s="309">
        <f>IF($U14=0, 0, IF('Irr Sorghum Seed'!$E$9=0,0,(L14-'Irr Sorghum Seed'!F$10)/$U14/(1-'Irr Sorghum Seed'!$E$9)))</f>
        <v>35.554427910514001</v>
      </c>
      <c r="Y14" s="309">
        <f>IF($U14=0, 0, IF('Irr Sorghum Seed'!$E$9=0,0,(M14-'Irr Sorghum Seed'!F$10)/$U14/('Irr Sorghum Seed'!$E$9)))</f>
        <v>26.285193390935991</v>
      </c>
    </row>
    <row r="15" spans="1:25" ht="16.5" customHeight="1" x14ac:dyDescent="0.25">
      <c r="A15" s="284" t="str">
        <f>'Irr Sorghum Silage'!$A$3:$H$3</f>
        <v>Irrigated Sorghum Silage</v>
      </c>
      <c r="B15" s="124">
        <f>'Irr Sorghum Silage'!F$12</f>
        <v>663.6</v>
      </c>
      <c r="C15" s="124">
        <f>'Irr Sorghum Silage'!G$12</f>
        <v>444.61199999999997</v>
      </c>
      <c r="D15" s="124">
        <f>'Irr Sorghum Silage'!H$12</f>
        <v>218.98800000000003</v>
      </c>
      <c r="E15" s="226">
        <f>'Irr Sorghum Silage'!F$46</f>
        <v>507.50204161376456</v>
      </c>
      <c r="F15" s="226">
        <f>'Irr Sorghum Silage'!G$46</f>
        <v>441.31861405330432</v>
      </c>
      <c r="G15" s="226">
        <f>'Irr Sorghum Silage'!H$46</f>
        <v>67.58514803700001</v>
      </c>
      <c r="H15" s="283">
        <f t="shared" si="0"/>
        <v>156.09795838623546</v>
      </c>
      <c r="I15" s="283">
        <f t="shared" si="1"/>
        <v>3.2933859466956505</v>
      </c>
      <c r="J15" s="283">
        <f t="shared" si="2"/>
        <v>151.40285196300002</v>
      </c>
      <c r="K15" s="229">
        <f>'Irr Sorghum Silage'!F$60</f>
        <v>674.10204161376453</v>
      </c>
      <c r="L15" s="229">
        <f>'Irr Sorghum Silage'!G$60</f>
        <v>535.91861405330428</v>
      </c>
      <c r="M15" s="229">
        <f>'Irr Sorghum Silage'!H$60</f>
        <v>139.58514803700001</v>
      </c>
      <c r="N15" s="139">
        <f>'Irr Sorghum Silage'!B35</f>
        <v>13</v>
      </c>
      <c r="O15" s="221">
        <f t="shared" si="3"/>
        <v>12.007535260479651</v>
      </c>
      <c r="P15" s="221">
        <f t="shared" si="4"/>
        <v>0.25333738051505006</v>
      </c>
      <c r="Q15" s="221">
        <f t="shared" si="5"/>
        <v>11.646373227923078</v>
      </c>
      <c r="R15" s="283">
        <f t="shared" si="6"/>
        <v>-10.502041613764504</v>
      </c>
      <c r="S15" s="283">
        <f t="shared" si="7"/>
        <v>-91.306614053304315</v>
      </c>
      <c r="T15" s="283">
        <f t="shared" si="8"/>
        <v>79.402851963000018</v>
      </c>
      <c r="U15" s="223">
        <f>'Irr Sorghum Silage'!$D$9</f>
        <v>31.6</v>
      </c>
      <c r="V15" s="223" t="str">
        <f>'Irr Sorghum Silage'!$C$9</f>
        <v>ton</v>
      </c>
      <c r="W15" s="309">
        <f t="shared" si="9"/>
        <v>21.332343089043182</v>
      </c>
      <c r="X15" s="309">
        <f>IF($U15=0, 0, IF('Irr Sorghum Silage'!$E$9=0,0,L15/$U15/(1-'Irr Sorghum Silage'!$E$9)))</f>
        <v>25.312611659423023</v>
      </c>
      <c r="Y15" s="309">
        <f>IF($U15=0, 0, IF('Irr Sorghum Silage'!$E$9=0,0,M15/$U15/('Irr Sorghum Silage'!$E$9)))</f>
        <v>13.385610667146144</v>
      </c>
    </row>
    <row r="16" spans="1:25" ht="16.5" customHeight="1" x14ac:dyDescent="0.25">
      <c r="A16" s="284" t="str">
        <f>'Irr Sorghum Sudangrass'!$A$3:$H$3</f>
        <v>Irrigated Sorghum Sudangrass</v>
      </c>
      <c r="B16" s="124">
        <f>'Irr Sorghum Sudangrass'!F$12</f>
        <v>320</v>
      </c>
      <c r="C16" s="124">
        <f>'Irr Sorghum Sudangrass'!G$12</f>
        <v>214.39999999999998</v>
      </c>
      <c r="D16" s="124">
        <f>'Irr Sorghum Sudangrass'!H$12</f>
        <v>105.60000000000001</v>
      </c>
      <c r="E16" s="226">
        <f>'Irr Sorghum Sudangrass'!F$46</f>
        <v>254.17800383437893</v>
      </c>
      <c r="F16" s="226">
        <f>'Irr Sorghum Sudangrass'!G$46</f>
        <v>205.69779608845997</v>
      </c>
      <c r="G16" s="226">
        <f>'Irr Sorghum Sudangrass'!H$46</f>
        <v>50.158680000000004</v>
      </c>
      <c r="H16" s="283">
        <f t="shared" si="0"/>
        <v>65.821996165621073</v>
      </c>
      <c r="I16" s="283">
        <f t="shared" si="1"/>
        <v>8.7022039115400105</v>
      </c>
      <c r="J16" s="283">
        <f t="shared" si="2"/>
        <v>55.441320000000005</v>
      </c>
      <c r="K16" s="229">
        <f>'Irr Sorghum Sudangrass'!F$60</f>
        <v>410.19800383437894</v>
      </c>
      <c r="L16" s="229">
        <f>'Irr Sorghum Sudangrass'!G$60</f>
        <v>289.71779608845998</v>
      </c>
      <c r="M16" s="229">
        <f>'Irr Sorghum Sudangrass'!H$60</f>
        <v>122.15868</v>
      </c>
      <c r="N16" s="139">
        <f>'Irr Sorghum Sudangrass'!B35</f>
        <v>9</v>
      </c>
      <c r="O16" s="221">
        <f t="shared" si="3"/>
        <v>7.3135551295134524</v>
      </c>
      <c r="P16" s="221">
        <f t="shared" si="4"/>
        <v>0.96691154572666782</v>
      </c>
      <c r="Q16" s="221">
        <f t="shared" si="5"/>
        <v>6.1601466666666669</v>
      </c>
      <c r="R16" s="283">
        <f t="shared" si="6"/>
        <v>-90.198003834378937</v>
      </c>
      <c r="S16" s="283">
        <f t="shared" si="7"/>
        <v>-75.31779608846</v>
      </c>
      <c r="T16" s="283">
        <f t="shared" si="8"/>
        <v>-16.558679999999995</v>
      </c>
      <c r="U16" s="223">
        <f>'Irr Sorghum Sudangrass'!$D$9</f>
        <v>0.4</v>
      </c>
      <c r="V16" s="223" t="str">
        <f>'Irr Sorghum Sudangrass'!$C$9</f>
        <v>lb</v>
      </c>
      <c r="W16" s="309">
        <f t="shared" si="9"/>
        <v>1025.4950095859472</v>
      </c>
      <c r="X16" s="309">
        <f>IF($U16=0, 0, IF('Irr Sorghum Sudangrass'!$E$9=0,0,L16/$U16/(1-'Irr Sorghum Sudangrass'!$E$9)))</f>
        <v>1081.0365525688806</v>
      </c>
      <c r="Y16" s="309">
        <f>IF($U16=0, 0, IF('Irr Sorghum Sudangrass'!$E$9=0,0,M16/$U16/('Irr Sorghum Sudangrass'!$E$9)))</f>
        <v>925.44454545454539</v>
      </c>
    </row>
    <row r="17" spans="1:25" ht="16.5" customHeight="1" x14ac:dyDescent="0.25">
      <c r="A17" s="284" t="str">
        <f>'Irr Soybeans'!$A$3:$H$3</f>
        <v>Irrigated Soybeans</v>
      </c>
      <c r="B17" s="124">
        <f>'Irr Soybeans'!F$12</f>
        <v>504</v>
      </c>
      <c r="C17" s="124">
        <f>'Irr Soybeans'!G$12</f>
        <v>337.67999999999995</v>
      </c>
      <c r="D17" s="124">
        <f>'Irr Soybeans'!H$12</f>
        <v>166.32000000000002</v>
      </c>
      <c r="E17" s="226">
        <f>'Irr Soybeans'!F$49</f>
        <v>367.27839047999998</v>
      </c>
      <c r="F17" s="226">
        <f>'Irr Soybeans'!G$49</f>
        <v>323.045657248</v>
      </c>
      <c r="G17" s="226">
        <f>'Irr Soybeans'!H$49</f>
        <v>46.481506500000002</v>
      </c>
      <c r="H17" s="283">
        <f t="shared" si="0"/>
        <v>136.72160952000002</v>
      </c>
      <c r="I17" s="283">
        <f t="shared" si="1"/>
        <v>14.634342751999952</v>
      </c>
      <c r="J17" s="283">
        <f t="shared" si="2"/>
        <v>119.83849350000003</v>
      </c>
      <c r="K17" s="229">
        <f>'Irr Soybeans'!F$63</f>
        <v>538.29839047999997</v>
      </c>
      <c r="L17" s="229">
        <f>'Irr Soybeans'!G$63</f>
        <v>422.06565724799998</v>
      </c>
      <c r="M17" s="229">
        <f>'Irr Soybeans'!H$63</f>
        <v>118.48150649999999</v>
      </c>
      <c r="N17" s="139">
        <f>'Irr Soybeans'!B38</f>
        <v>14</v>
      </c>
      <c r="O17" s="221">
        <f t="shared" si="3"/>
        <v>9.7658292514285723</v>
      </c>
      <c r="P17" s="221">
        <f t="shared" si="4"/>
        <v>1.0453101965714251</v>
      </c>
      <c r="Q17" s="221">
        <f t="shared" si="5"/>
        <v>8.5598923928571455</v>
      </c>
      <c r="R17" s="283">
        <f t="shared" si="6"/>
        <v>-34.298390479999966</v>
      </c>
      <c r="S17" s="283">
        <f t="shared" si="7"/>
        <v>-84.38565724800003</v>
      </c>
      <c r="T17" s="283">
        <f t="shared" si="8"/>
        <v>47.838493500000027</v>
      </c>
      <c r="U17" s="223">
        <f>'Irr Soybeans'!$D$9</f>
        <v>8.4</v>
      </c>
      <c r="V17" s="223" t="str">
        <f>'Irr Soybeans'!$C$9</f>
        <v>bu</v>
      </c>
      <c r="W17" s="309">
        <f t="shared" si="9"/>
        <v>64.083141723809518</v>
      </c>
      <c r="X17" s="309">
        <f>IF($U17=0, 0, IF('Irr Soybeans'!$E$9=0,0,L17/$U17/(1-'Irr Soybeans'!$E$9)))</f>
        <v>74.993897876332625</v>
      </c>
      <c r="Y17" s="309">
        <f>IF($U17=0, 0, IF('Irr Soybeans'!$E$9=0,0,M17/$U17/('Irr Soybeans'!$E$9)))</f>
        <v>42.742246212121209</v>
      </c>
    </row>
    <row r="18" spans="1:25" ht="16.5" customHeight="1" x14ac:dyDescent="0.25">
      <c r="A18" s="284" t="str">
        <f>'Irr Sunflowers-Confection'!$A$3:$H$3</f>
        <v xml:space="preserve">Irrigated Sunflowers-Confectionary </v>
      </c>
      <c r="B18" s="124">
        <f>'Irr Sunflowers-Confection'!F$13</f>
        <v>378</v>
      </c>
      <c r="C18" s="124">
        <f>'Irr Sunflowers-Confection'!G$13</f>
        <v>253.25999999999996</v>
      </c>
      <c r="D18" s="124">
        <f>'Irr Sunflowers-Confection'!H$13</f>
        <v>124.74000000000001</v>
      </c>
      <c r="E18" s="226">
        <f>'Irr Sunflowers-Confection'!F$49</f>
        <v>284.87310814999989</v>
      </c>
      <c r="F18" s="226">
        <f>'Irr Sunflowers-Confection'!G$49</f>
        <v>236.79542455437499</v>
      </c>
      <c r="G18" s="226">
        <f>'Irr Sunflowers-Confection'!H$49</f>
        <v>48.393276628125008</v>
      </c>
      <c r="H18" s="283">
        <f t="shared" si="0"/>
        <v>93.126891850000106</v>
      </c>
      <c r="I18" s="283">
        <f t="shared" si="1"/>
        <v>16.464575445624973</v>
      </c>
      <c r="J18" s="283">
        <f t="shared" si="2"/>
        <v>76.346723371875001</v>
      </c>
      <c r="K18" s="229">
        <f>'Irr Sunflowers-Confection'!F$63</f>
        <v>437.3031081499999</v>
      </c>
      <c r="L18" s="229">
        <f>'Irr Sunflowers-Confection'!G$63</f>
        <v>317.22542455437497</v>
      </c>
      <c r="M18" s="229">
        <f>'Irr Sunflowers-Confection'!H$63</f>
        <v>120.39327662812501</v>
      </c>
      <c r="N18" s="139">
        <f>'Irr Sunflowers-Confection'!B38</f>
        <v>7</v>
      </c>
      <c r="O18" s="221">
        <f t="shared" si="3"/>
        <v>13.303841692857159</v>
      </c>
      <c r="P18" s="221">
        <f t="shared" si="4"/>
        <v>2.3520822065178533</v>
      </c>
      <c r="Q18" s="221">
        <f t="shared" si="5"/>
        <v>10.906674767410715</v>
      </c>
      <c r="R18" s="283">
        <f t="shared" si="6"/>
        <v>-59.3031081499999</v>
      </c>
      <c r="S18" s="283">
        <f t="shared" si="7"/>
        <v>-63.965424554375005</v>
      </c>
      <c r="T18" s="283">
        <f t="shared" si="8"/>
        <v>4.3467233718750009</v>
      </c>
      <c r="U18" s="223">
        <f>'Irr Sunflowers-Confection'!$D$9</f>
        <v>21</v>
      </c>
      <c r="V18" s="223" t="str">
        <f>'Irr Sunflowers-Confection'!$C$9</f>
        <v>cwt</v>
      </c>
      <c r="W18" s="309">
        <f t="shared" si="9"/>
        <v>20.823957530952377</v>
      </c>
      <c r="X18" s="309">
        <f>IF($U18=0, 0, IF('Irr Sunflowers-Confection'!$E$9=0,0,L18/$U18/(1-'Irr Sunflowers-Confection'!$E$9)))</f>
        <v>22.546227757951314</v>
      </c>
      <c r="Y18" s="309">
        <f>IF($U18=0, 0, IF('Irr Sunflowers-Confection'!$E$9=0,0,M18/$U18/('Irr Sunflowers-Confection'!$E$9)))</f>
        <v>17.372767190205629</v>
      </c>
    </row>
    <row r="19" spans="1:25" ht="16.5" customHeight="1" x14ac:dyDescent="0.25">
      <c r="A19" s="284" t="str">
        <f>'Irr Sunflowers-Oilseed'!$A$3:$H$3</f>
        <v xml:space="preserve">Irrigated Sunflowers-Oilseed </v>
      </c>
      <c r="B19" s="124">
        <f>'Irr Sunflowers-Oilseed'!F$12</f>
        <v>330</v>
      </c>
      <c r="C19" s="124">
        <f>'Irr Sunflowers-Oilseed'!G$12</f>
        <v>221.09999999999997</v>
      </c>
      <c r="D19" s="124">
        <f>'Irr Sunflowers-Oilseed'!H$12</f>
        <v>108.9</v>
      </c>
      <c r="E19" s="226">
        <f>'Irr Sunflowers-Oilseed'!F$48</f>
        <v>283.87553672142849</v>
      </c>
      <c r="F19" s="226">
        <f>'Irr Sunflowers-Oilseed'!G$48</f>
        <v>224.643256554375</v>
      </c>
      <c r="G19" s="226">
        <f>'Irr Sunflowers-Oilseed'!H$48</f>
        <v>59.545494628124999</v>
      </c>
      <c r="H19" s="283">
        <f t="shared" si="0"/>
        <v>46.124463278571511</v>
      </c>
      <c r="I19" s="283">
        <f t="shared" si="1"/>
        <v>-3.5432565543750343</v>
      </c>
      <c r="J19" s="283">
        <f t="shared" si="2"/>
        <v>49.354505371875007</v>
      </c>
      <c r="K19" s="229">
        <f>'Irr Sunflowers-Oilseed'!F$62</f>
        <v>436.3055367214285</v>
      </c>
      <c r="L19" s="229">
        <f>'Irr Sunflowers-Oilseed'!G$62</f>
        <v>305.07325655437501</v>
      </c>
      <c r="M19" s="229">
        <f>'Irr Sunflowers-Oilseed'!H$62</f>
        <v>131.545494628125</v>
      </c>
      <c r="N19" s="139">
        <f>'Irr Sunflowers-Oilseed'!B37</f>
        <v>7</v>
      </c>
      <c r="O19" s="221">
        <f t="shared" si="3"/>
        <v>6.5892090397959304</v>
      </c>
      <c r="P19" s="221">
        <f t="shared" si="4"/>
        <v>-0.50617950776786202</v>
      </c>
      <c r="Q19" s="221">
        <f t="shared" si="5"/>
        <v>7.0506436245535724</v>
      </c>
      <c r="R19" s="283">
        <f t="shared" si="6"/>
        <v>-106.3055367214285</v>
      </c>
      <c r="S19" s="283">
        <f t="shared" si="7"/>
        <v>-83.973256554375041</v>
      </c>
      <c r="T19" s="283">
        <f t="shared" si="8"/>
        <v>-22.645494628124993</v>
      </c>
      <c r="U19" s="223">
        <f>'Irr Sunflowers-Oilseed'!$D$9</f>
        <v>16.5</v>
      </c>
      <c r="V19" s="223" t="str">
        <f>'Irr Sunflowers-Oilseed'!$C$9</f>
        <v>cwt</v>
      </c>
      <c r="W19" s="309">
        <f t="shared" si="9"/>
        <v>26.442759801298696</v>
      </c>
      <c r="X19" s="309">
        <f>IF($U19=0, 0, IF('Irr Sunflowers-Oilseed'!$E$9=0,0,L19/$U19/(1-'Irr Sunflowers-Oilseed'!$E$9)))</f>
        <v>27.595952650780191</v>
      </c>
      <c r="Y19" s="309">
        <f>IF($U19=0, 0, IF('Irr Sunflowers-Oilseed'!$E$9=0,0,M19/$U19/('Irr Sunflowers-Oilseed'!$E$9)))</f>
        <v>24.158952181473826</v>
      </c>
    </row>
    <row r="20" spans="1:25" ht="16.5" customHeight="1" x14ac:dyDescent="0.25">
      <c r="A20" s="284" t="str">
        <f>'Irr Triticale Silage'!$A$3:$H$3</f>
        <v>Irrigated Triticale Silage</v>
      </c>
      <c r="B20" s="124">
        <f>'Irr Triticale Silage'!F$12</f>
        <v>316</v>
      </c>
      <c r="C20" s="124">
        <f>'Irr Triticale Silage'!G$12</f>
        <v>211.71999999999997</v>
      </c>
      <c r="D20" s="124">
        <f>'Irr Triticale Silage'!H$12</f>
        <v>104.28</v>
      </c>
      <c r="E20" s="226">
        <f>'Irr Triticale Silage'!F$46</f>
        <v>313.90743592294115</v>
      </c>
      <c r="F20" s="226">
        <f>'Irr Triticale Silage'!G$46</f>
        <v>281.11756080949993</v>
      </c>
      <c r="G20" s="226">
        <f>'Irr Triticale Silage'!H$46</f>
        <v>31.755866999999999</v>
      </c>
      <c r="H20" s="283">
        <f t="shared" ref="H20" si="10">B20-E20</f>
        <v>2.0925640770588529</v>
      </c>
      <c r="I20" s="283">
        <f t="shared" ref="I20" si="11">C20-F20</f>
        <v>-69.397560809499964</v>
      </c>
      <c r="J20" s="283">
        <f t="shared" ref="J20" si="12">D20-G20</f>
        <v>72.524133000000006</v>
      </c>
      <c r="K20" s="229">
        <f>'Irr Triticale Silage'!F$60</f>
        <v>473.82743592294116</v>
      </c>
      <c r="L20" s="229">
        <f>'Irr Triticale Silage'!G$60</f>
        <v>369.03756080949995</v>
      </c>
      <c r="M20" s="229">
        <f>'Irr Triticale Silage'!H$60</f>
        <v>103.75586699999999</v>
      </c>
      <c r="N20" s="139">
        <f>'Irr Sorghum Sudangrass'!B36</f>
        <v>48.49</v>
      </c>
      <c r="O20" s="221">
        <f>IF($N20=0,"-",H20/$N20)</f>
        <v>4.315454891851625E-2</v>
      </c>
      <c r="P20" s="221">
        <f>IF($N20=0,"-",I20/$N20)</f>
        <v>-1.4311726296040412</v>
      </c>
      <c r="Q20" s="221">
        <f>IF($N20=0,"-",J20/$N20)</f>
        <v>1.4956513301711694</v>
      </c>
      <c r="R20" s="283">
        <f t="shared" ref="R20" si="13">B20-K20</f>
        <v>-157.82743592294116</v>
      </c>
      <c r="S20" s="283">
        <f t="shared" ref="S20" si="14">C20-L20</f>
        <v>-157.31756080949998</v>
      </c>
      <c r="T20" s="283">
        <f t="shared" ref="T20" si="15">D20-M20</f>
        <v>0.52413300000000618</v>
      </c>
      <c r="U20" s="223">
        <f>'Irr Triticale Silage'!$D$9</f>
        <v>31.6</v>
      </c>
      <c r="V20" s="223" t="str">
        <f>'Irr Triticale Silage'!$C$9</f>
        <v>ton</v>
      </c>
      <c r="W20" s="309">
        <f>IF($U20=0, 0, K20/$U20)</f>
        <v>14.99453911148548</v>
      </c>
      <c r="X20" s="309">
        <f>IF($U20=0, 0, IF('Irr Triticale Silage'!$E$9=0,0,L20/$U20/(1-'Irr Triticale Silage'!$E$9)))</f>
        <v>17.430453467291706</v>
      </c>
      <c r="Y20" s="309">
        <f>IF($U20=0, 0, IF('Irr Triticale Silage'!$E$9=0,0,M20/$U20/('Irr Triticale Silage'!$E$9)))</f>
        <v>9.9497379171461429</v>
      </c>
    </row>
    <row r="21" spans="1:25" ht="16.5" customHeight="1" x14ac:dyDescent="0.25">
      <c r="A21" s="284" t="str">
        <f>'Irr Wheat'!$A$3:$H$3</f>
        <v>Irrigated Wheat</v>
      </c>
      <c r="B21" s="124">
        <f>'Irr Wheat'!F$13</f>
        <v>251.9</v>
      </c>
      <c r="C21" s="124">
        <f>'Irr Wheat'!G$13</f>
        <v>168.773</v>
      </c>
      <c r="D21" s="124">
        <f>'Irr Wheat'!H$13</f>
        <v>83.126999999999995</v>
      </c>
      <c r="E21" s="226">
        <f>'Irr Wheat'!F$47</f>
        <v>280.58816233766663</v>
      </c>
      <c r="F21" s="226">
        <f>'Irr Wheat'!G$47</f>
        <v>235.07740304002249</v>
      </c>
      <c r="G21" s="226">
        <f>'Irr Wheat'!H$47</f>
        <v>43.974896367187505</v>
      </c>
      <c r="H21" s="283">
        <f t="shared" si="0"/>
        <v>-28.688162337666625</v>
      </c>
      <c r="I21" s="283">
        <f t="shared" si="1"/>
        <v>-66.304403040022493</v>
      </c>
      <c r="J21" s="283">
        <f t="shared" si="2"/>
        <v>39.152103632812491</v>
      </c>
      <c r="K21" s="229">
        <f>'Irr Wheat'!F$61</f>
        <v>440.50816233766659</v>
      </c>
      <c r="L21" s="229">
        <f>'Irr Wheat'!G$61</f>
        <v>322.9974030400225</v>
      </c>
      <c r="M21" s="229">
        <f>'Irr Wheat'!H$61</f>
        <v>115.97489636718751</v>
      </c>
      <c r="N21" s="139">
        <f>'Irr Wheat'!B36</f>
        <v>10</v>
      </c>
      <c r="O21" s="221">
        <f t="shared" si="3"/>
        <v>-2.8688162337666627</v>
      </c>
      <c r="P21" s="221">
        <f t="shared" si="4"/>
        <v>-6.6304403040022493</v>
      </c>
      <c r="Q21" s="221">
        <f t="shared" si="5"/>
        <v>3.9152103632812492</v>
      </c>
      <c r="R21" s="283">
        <f t="shared" si="6"/>
        <v>-188.60816233766658</v>
      </c>
      <c r="S21" s="283">
        <f t="shared" si="7"/>
        <v>-154.22440304002251</v>
      </c>
      <c r="T21" s="283">
        <f t="shared" si="8"/>
        <v>-32.847896367187516</v>
      </c>
      <c r="U21" s="223">
        <f>'Irr Wheat'!$D$9</f>
        <v>3.95</v>
      </c>
      <c r="V21" s="223" t="str">
        <f>'Irr Wheat'!$C$9</f>
        <v>bu</v>
      </c>
      <c r="W21" s="309">
        <f>IF($U21=0, 0, (K21-'Irr Wheat'!$F$10)/$U21)</f>
        <v>97.748901857637108</v>
      </c>
      <c r="X21" s="309">
        <f>IF($U21=0, 0, IF('Irr Wheat'!$E$9=0,0,(L21-'Irr Wheat'!$G$10)/$U21/(1-'Irr Wheat'!$E$9)))</f>
        <v>108.27485472889572</v>
      </c>
      <c r="Y21" s="309">
        <f>IF($U21=0, 0, IF('Irr Wheat'!$E$9=0,0,(M21-'Irr Wheat'!$H$10)/$U21/('Irr Wheat'!$E$9)))</f>
        <v>75.19976706343499</v>
      </c>
    </row>
    <row r="22" spans="1:25" ht="16.5" customHeight="1" x14ac:dyDescent="0.25">
      <c r="A22" s="284" t="str">
        <f>'Irr Other Crop'!$A$3:$H$3</f>
        <v>Irrigated Other Crop</v>
      </c>
      <c r="B22" s="124">
        <f>'Irr Other Crop'!F$12</f>
        <v>0</v>
      </c>
      <c r="C22" s="124">
        <f>'Irr Other Crop'!G$12</f>
        <v>0</v>
      </c>
      <c r="D22" s="124">
        <f>'Irr Other Crop'!H$12</f>
        <v>0</v>
      </c>
      <c r="E22" s="226">
        <f>'Irr Other Crop'!F$48</f>
        <v>0</v>
      </c>
      <c r="F22" s="226">
        <f>'Irr Other Crop'!G$48</f>
        <v>0</v>
      </c>
      <c r="G22" s="226">
        <f>'Irr Other Crop'!H$48</f>
        <v>0</v>
      </c>
      <c r="H22" s="283">
        <f t="shared" si="0"/>
        <v>0</v>
      </c>
      <c r="I22" s="283">
        <f t="shared" si="1"/>
        <v>0</v>
      </c>
      <c r="J22" s="283">
        <f t="shared" si="2"/>
        <v>0</v>
      </c>
      <c r="K22" s="229">
        <f>'Irr Other Crop'!F$62</f>
        <v>0</v>
      </c>
      <c r="L22" s="229">
        <f>'Irr Other Crop'!G$62</f>
        <v>0</v>
      </c>
      <c r="M22" s="229">
        <f>'Irr Other Crop'!H$62</f>
        <v>0</v>
      </c>
      <c r="N22" s="139">
        <f>'Irr Other Crop'!B37</f>
        <v>0</v>
      </c>
      <c r="O22" s="221" t="str">
        <f t="shared" ref="O22:Q29" si="16">IF($N22=0,"-",H22/$N22)</f>
        <v>-</v>
      </c>
      <c r="P22" s="221" t="str">
        <f t="shared" si="16"/>
        <v>-</v>
      </c>
      <c r="Q22" s="221" t="str">
        <f t="shared" si="16"/>
        <v>-</v>
      </c>
      <c r="R22" s="283">
        <f t="shared" si="6"/>
        <v>0</v>
      </c>
      <c r="S22" s="283">
        <f t="shared" si="7"/>
        <v>0</v>
      </c>
      <c r="T22" s="283">
        <f t="shared" si="8"/>
        <v>0</v>
      </c>
      <c r="U22" s="223">
        <f>'Irr Other Crop'!$D$9</f>
        <v>0</v>
      </c>
      <c r="V22" s="223" t="str">
        <f>'Irr Other Crop'!$C$9</f>
        <v>unit</v>
      </c>
      <c r="W22" s="309">
        <f>IF($U22=0, 0, (K22-'Irr Other Crop'!$F$10)/$U22)</f>
        <v>0</v>
      </c>
      <c r="X22" s="309">
        <f>IF($U22=0, 0, IF('Irr Other Crop'!$E$9=0,0,(L22-'Irr Other Crop'!$G$10)/$U22/(1-'Irr Other Crop'!$E$9)))</f>
        <v>0</v>
      </c>
      <c r="Y22" s="309">
        <f>IF($U22=0, 0, IF('Irr Other Crop'!$E$9=0,0,(M22-'Irr Other Crop'!$H$10)/$U22/('Irr Other Crop'!$E$9)))</f>
        <v>0</v>
      </c>
    </row>
    <row r="23" spans="1:25" ht="16.5" customHeight="1" x14ac:dyDescent="0.25">
      <c r="A23" s="284" t="str">
        <f>'Dry Canola'!$A$3:$H$3</f>
        <v>Dryland Canola</v>
      </c>
      <c r="B23" s="124">
        <f>'Dry Canola'!F$12</f>
        <v>152.9</v>
      </c>
      <c r="C23" s="124">
        <f>'Dry Canola'!G$12</f>
        <v>102.443</v>
      </c>
      <c r="D23" s="124">
        <f>'Dry Canola'!H$12</f>
        <v>50.457000000000001</v>
      </c>
      <c r="E23" s="226">
        <f>'Dry Canola'!F$45</f>
        <v>149.37791133986349</v>
      </c>
      <c r="F23" s="226">
        <f>'Dry Canola'!G$45</f>
        <v>135.33294172832063</v>
      </c>
      <c r="G23" s="226">
        <f>'Dry Canola'!H$45</f>
        <v>13.697121326086958</v>
      </c>
      <c r="H23" s="283">
        <f t="shared" si="0"/>
        <v>3.522088660136518</v>
      </c>
      <c r="I23" s="283">
        <f t="shared" si="1"/>
        <v>-32.889941728320636</v>
      </c>
      <c r="J23" s="283">
        <f t="shared" si="2"/>
        <v>36.759878673913043</v>
      </c>
      <c r="K23" s="229">
        <f>'Dry Canola'!F$59</f>
        <v>202.56791133986349</v>
      </c>
      <c r="L23" s="229">
        <f>'Dry Canola'!G$59</f>
        <v>162.02294172832063</v>
      </c>
      <c r="M23" s="229">
        <f>'Dry Canola'!H$59</f>
        <v>40.197121326086958</v>
      </c>
      <c r="N23" s="139" t="e">
        <f>'Dry Canola'!#REF!</f>
        <v>#REF!</v>
      </c>
      <c r="O23" s="221" t="e">
        <f t="shared" si="16"/>
        <v>#REF!</v>
      </c>
      <c r="P23" s="221" t="e">
        <f t="shared" si="16"/>
        <v>#REF!</v>
      </c>
      <c r="Q23" s="221" t="e">
        <f t="shared" si="16"/>
        <v>#REF!</v>
      </c>
      <c r="R23" s="283">
        <f t="shared" si="6"/>
        <v>-49.66791133986348</v>
      </c>
      <c r="S23" s="283">
        <f t="shared" si="7"/>
        <v>-59.579941728320634</v>
      </c>
      <c r="T23" s="283">
        <f t="shared" si="8"/>
        <v>10.259878673913043</v>
      </c>
      <c r="U23" s="223">
        <f>'Dry Canola'!$D$9</f>
        <v>13.9</v>
      </c>
      <c r="V23" s="223" t="str">
        <f>'Dry Canola'!$C$9</f>
        <v>cwt</v>
      </c>
      <c r="W23" s="309">
        <f t="shared" si="9"/>
        <v>14.573231031644855</v>
      </c>
      <c r="X23" s="309">
        <f>IF($U23=0, 0, IF('Dry Canola'!$E$9=0,0,L23/$U23/(1-'Dry Canola'!$E$9)))</f>
        <v>17.397502601559182</v>
      </c>
      <c r="Y23" s="309">
        <f>IF($U23=0, 0, IF('Dry Canola'!$E$9=0,0,M23/$U23/('Dry Canola'!$E$9)))</f>
        <v>8.7632704002805664</v>
      </c>
    </row>
    <row r="24" spans="1:25" ht="16.5" customHeight="1" x14ac:dyDescent="0.25">
      <c r="A24" s="284" t="str">
        <f>'Dry Cotton'!$A$3:$H$3</f>
        <v>Dryland Cotton</v>
      </c>
      <c r="B24" s="124">
        <f>'Dry Cotton'!F$13</f>
        <v>320</v>
      </c>
      <c r="C24" s="124">
        <f>'Dry Cotton'!G$13</f>
        <v>320</v>
      </c>
      <c r="D24" s="124">
        <f>'Dry Cotton'!H$13</f>
        <v>0</v>
      </c>
      <c r="E24" s="226">
        <f>'Dry Cotton'!F$49</f>
        <v>290.14245206277263</v>
      </c>
      <c r="F24" s="226">
        <f>'Dry Cotton'!G$49</f>
        <v>289.57117778636177</v>
      </c>
      <c r="G24" s="226">
        <f>'Dry Cotton'!H$49</f>
        <v>0</v>
      </c>
      <c r="H24" s="283">
        <f t="shared" si="0"/>
        <v>29.857547937227366</v>
      </c>
      <c r="I24" s="283">
        <f t="shared" si="1"/>
        <v>30.428822213638227</v>
      </c>
      <c r="J24" s="283">
        <f t="shared" si="2"/>
        <v>0</v>
      </c>
      <c r="K24" s="229">
        <f>'Dry Cotton'!F$63</f>
        <v>346.74245206277266</v>
      </c>
      <c r="L24" s="229">
        <f>'Dry Cotton'!G$63</f>
        <v>346.1711777863618</v>
      </c>
      <c r="M24" s="229">
        <f>'Dry Cotton'!H$63</f>
        <v>0</v>
      </c>
      <c r="N24" s="139" t="e">
        <f>'Dry Cotton'!#REF!</f>
        <v>#REF!</v>
      </c>
      <c r="O24" s="221" t="e">
        <f t="shared" si="16"/>
        <v>#REF!</v>
      </c>
      <c r="P24" s="221" t="e">
        <f t="shared" si="16"/>
        <v>#REF!</v>
      </c>
      <c r="Q24" s="221" t="e">
        <f t="shared" si="16"/>
        <v>#REF!</v>
      </c>
      <c r="R24" s="283">
        <f t="shared" si="6"/>
        <v>-26.742452062772657</v>
      </c>
      <c r="S24" s="283">
        <f t="shared" si="7"/>
        <v>-26.171177786361795</v>
      </c>
      <c r="T24" s="283">
        <f t="shared" si="8"/>
        <v>0</v>
      </c>
      <c r="U24" s="223">
        <f>'Dry Cotton'!$D$9</f>
        <v>0.65</v>
      </c>
      <c r="V24" s="223" t="str">
        <f>'Dry Cotton'!$C$9</f>
        <v>lb</v>
      </c>
      <c r="W24" s="309">
        <f>IF($U24=0, 0, K24/($U24+Cottonseed_Price/2000*'Universal Input Prices'!$B$39/500))</f>
        <v>433.42806507846581</v>
      </c>
      <c r="X24" s="309">
        <f>IF($U24=0, 0, IF('Dry Cotton'!$E$9=0,0,L24/($U24+Cottonseed_Price/2000*'Universal Input Prices'!$B$39/500)/(1-'Dry Cotton'!$E$9)))</f>
        <v>0</v>
      </c>
      <c r="Y24" s="309">
        <f>IF($U24=0, 0, IF('Dry Cotton'!$E$9=0,0,M24/($U24+Cottonseed_Price/2000*'Universal Input Prices'!$B$39/500)/('Dry Cotton'!$E$9)))</f>
        <v>0</v>
      </c>
    </row>
    <row r="25" spans="1:25" ht="16.5" customHeight="1" x14ac:dyDescent="0.25">
      <c r="A25" s="284" t="str">
        <f>'Dry Sorghum'!$A$3:$H$3</f>
        <v>Dryland Sorghum</v>
      </c>
      <c r="B25" s="124">
        <f>'Dry Sorghum'!F$12</f>
        <v>143.75</v>
      </c>
      <c r="C25" s="124">
        <f>'Dry Sorghum'!G$12</f>
        <v>143.75</v>
      </c>
      <c r="D25" s="124">
        <f>'Dry Sorghum'!H$12</f>
        <v>0</v>
      </c>
      <c r="E25" s="226">
        <f>'Dry Sorghum'!F$43</f>
        <v>156.57180184344173</v>
      </c>
      <c r="F25" s="226">
        <f>'Dry Sorghum'!G$43</f>
        <v>150.40316798913841</v>
      </c>
      <c r="G25" s="226">
        <f>'Dry Sorghum'!H$43</f>
        <v>7.1171100000000003</v>
      </c>
      <c r="H25" s="283">
        <f t="shared" si="0"/>
        <v>-12.821801843441733</v>
      </c>
      <c r="I25" s="283">
        <f t="shared" si="1"/>
        <v>-6.6531679891384101</v>
      </c>
      <c r="J25" s="283">
        <f t="shared" si="2"/>
        <v>-7.1171100000000003</v>
      </c>
      <c r="K25" s="229">
        <f>'Dry Sorghum'!F$57</f>
        <v>208.20180184344173</v>
      </c>
      <c r="L25" s="229">
        <f>'Dry Sorghum'!G$57</f>
        <v>202.03316798913841</v>
      </c>
      <c r="M25" s="229">
        <f>'Dry Sorghum'!H$57</f>
        <v>7.1171100000000003</v>
      </c>
      <c r="N25" s="139" t="e">
        <f>'Dry Sorghum'!#REF!</f>
        <v>#REF!</v>
      </c>
      <c r="O25" s="221" t="e">
        <f t="shared" si="16"/>
        <v>#REF!</v>
      </c>
      <c r="P25" s="221" t="e">
        <f t="shared" si="16"/>
        <v>#REF!</v>
      </c>
      <c r="Q25" s="221" t="e">
        <f t="shared" si="16"/>
        <v>#REF!</v>
      </c>
      <c r="R25" s="283">
        <f t="shared" si="6"/>
        <v>-64.451801843441729</v>
      </c>
      <c r="S25" s="283">
        <f t="shared" si="7"/>
        <v>-58.283167989138406</v>
      </c>
      <c r="T25" s="283">
        <f t="shared" si="8"/>
        <v>-7.1171100000000003</v>
      </c>
      <c r="U25" s="223">
        <f>'Dry Sorghum'!$D$9</f>
        <v>5.75</v>
      </c>
      <c r="V25" s="223" t="str">
        <f>'Dry Sorghum'!$C$9</f>
        <v>cwt</v>
      </c>
      <c r="W25" s="309">
        <f>IF($U25=0, 0, (K25-'Dry Sorghum'!F$10)/$U25)</f>
        <v>36.209009016250732</v>
      </c>
      <c r="X25" s="309">
        <f>IF($U25=0, 0, IF('Dry Sorghum'!$E$9=0,0,(L25-'Dry Sorghum'!F$10)/$U25/(1-'Dry Sorghum'!$E$9)))</f>
        <v>0</v>
      </c>
      <c r="Y25" s="309">
        <f>IF($U25=0, 0, IF('Dry Sorghum'!$E$9=0,0,(M25-'Dry Sorghum'!F$10)/$U25/('Dry Sorghum'!$E$9)))</f>
        <v>0</v>
      </c>
    </row>
    <row r="26" spans="1:25" ht="16.5" customHeight="1" x14ac:dyDescent="0.25">
      <c r="A26" s="284" t="str">
        <f>'Dry Sorghum Sudangrass'!$A$3:$H$3</f>
        <v>Dryland Sorghum Sudangrass</v>
      </c>
      <c r="B26" s="124">
        <f>'Dry Sorghum Sudangrass'!F$12</f>
        <v>134.4</v>
      </c>
      <c r="C26" s="124">
        <f>'Dry Sorghum Sudangrass'!G$12</f>
        <v>90.047999999999988</v>
      </c>
      <c r="D26" s="124">
        <f>'Dry Sorghum Sudangrass'!H$12</f>
        <v>44.352000000000004</v>
      </c>
      <c r="E26" s="226">
        <f>'Dry Sorghum Sudangrass'!F$42</f>
        <v>109.89465282950036</v>
      </c>
      <c r="F26" s="226">
        <f>'Dry Sorghum Sudangrass'!G$42</f>
        <v>90.747785393537967</v>
      </c>
      <c r="G26" s="226">
        <f>'Dry Sorghum Sudangrass'!H$42</f>
        <v>19.860126000000001</v>
      </c>
      <c r="H26" s="283">
        <f t="shared" si="0"/>
        <v>24.505347170499647</v>
      </c>
      <c r="I26" s="283">
        <f t="shared" si="1"/>
        <v>-0.69978539353797942</v>
      </c>
      <c r="J26" s="283">
        <f t="shared" si="2"/>
        <v>24.491874000000003</v>
      </c>
      <c r="K26" s="230">
        <f>'Dry Sorghum Sudangrass'!F$56</f>
        <v>160.32465282950037</v>
      </c>
      <c r="L26" s="230">
        <f>'Dry Sorghum Sudangrass'!G$56</f>
        <v>114.67778539353796</v>
      </c>
      <c r="M26" s="230">
        <f>'Dry Sorghum Sudangrass'!H$56</f>
        <v>46.360126000000001</v>
      </c>
      <c r="N26" s="139" t="e">
        <f>'Dry Sorghum Sudangrass'!#REF!</f>
        <v>#REF!</v>
      </c>
      <c r="O26" s="221" t="e">
        <f t="shared" si="16"/>
        <v>#REF!</v>
      </c>
      <c r="P26" s="221" t="e">
        <f t="shared" si="16"/>
        <v>#REF!</v>
      </c>
      <c r="Q26" s="221" t="e">
        <f t="shared" si="16"/>
        <v>#REF!</v>
      </c>
      <c r="R26" s="283">
        <f t="shared" si="6"/>
        <v>-25.92465282950036</v>
      </c>
      <c r="S26" s="283">
        <f t="shared" si="7"/>
        <v>-24.629785393537972</v>
      </c>
      <c r="T26" s="283">
        <f t="shared" si="8"/>
        <v>-2.0081259999999972</v>
      </c>
      <c r="U26" s="223">
        <f>'Dry Sorghum Sudangrass'!$D$9</f>
        <v>0.4</v>
      </c>
      <c r="V26" s="223" t="str">
        <f>'Dry Sorghum Sudangrass'!$C$9</f>
        <v>lb</v>
      </c>
      <c r="W26" s="309">
        <f t="shared" si="9"/>
        <v>400.8116320737509</v>
      </c>
      <c r="X26" s="309">
        <f>IF($U26=0, 0, IF('Dry Sorghum Sudangrass'!$E$9=0,0,L26/$U26/(1-'Dry Sorghum Sudangrass'!$E$9)))</f>
        <v>427.90218430424608</v>
      </c>
      <c r="Y26" s="309">
        <f>IF($U26=0, 0, IF('Dry Sorghum Sudangrass'!$E$9=0,0,M26/$U26/('Dry Sorghum Sudangrass'!$E$9)))</f>
        <v>351.21307575757572</v>
      </c>
    </row>
    <row r="27" spans="1:25" ht="16.5" customHeight="1" x14ac:dyDescent="0.25">
      <c r="A27" s="284" t="str">
        <f>'Dry Sunflowers-Oilseed'!$A$3:$H$3</f>
        <v xml:space="preserve">Dryland Sunflowers-Oilseed </v>
      </c>
      <c r="B27" s="124">
        <f>'Dry Sunflowers-Oilseed'!F$12</f>
        <v>165</v>
      </c>
      <c r="C27" s="124">
        <f>'Dry Sunflowers-Oilseed'!G$12</f>
        <v>110.54999999999998</v>
      </c>
      <c r="D27" s="124">
        <f>'Dry Sunflowers-Oilseed'!H$12</f>
        <v>54.45</v>
      </c>
      <c r="E27" s="226">
        <f>'Dry Sunflowers-Oilseed'!F$44</f>
        <v>152.16315021861502</v>
      </c>
      <c r="F27" s="226">
        <f>'Dry Sunflowers-Oilseed'!G$44</f>
        <v>126.02865285603801</v>
      </c>
      <c r="G27" s="226">
        <f>'Dry Sunflowers-Oilseed'!H$44</f>
        <v>26.674335187500002</v>
      </c>
      <c r="H27" s="283">
        <f t="shared" si="0"/>
        <v>12.836849781384984</v>
      </c>
      <c r="I27" s="283">
        <f t="shared" si="1"/>
        <v>-15.478652856038025</v>
      </c>
      <c r="J27" s="283">
        <f t="shared" si="2"/>
        <v>27.775664812500001</v>
      </c>
      <c r="K27" s="229">
        <f>'Dry Sunflowers-Oilseed'!F$58</f>
        <v>201.25315021861502</v>
      </c>
      <c r="L27" s="229">
        <f>'Dry Sunflowers-Oilseed'!G$58</f>
        <v>148.61865285603801</v>
      </c>
      <c r="M27" s="229">
        <f>'Dry Sunflowers-Oilseed'!H$58</f>
        <v>53.174335187500006</v>
      </c>
      <c r="N27" s="139" t="e">
        <f>'Dry Sunflowers-Oilseed'!#REF!</f>
        <v>#REF!</v>
      </c>
      <c r="O27" s="221" t="e">
        <f t="shared" si="16"/>
        <v>#REF!</v>
      </c>
      <c r="P27" s="221" t="e">
        <f t="shared" si="16"/>
        <v>#REF!</v>
      </c>
      <c r="Q27" s="221" t="e">
        <f t="shared" si="16"/>
        <v>#REF!</v>
      </c>
      <c r="R27" s="283">
        <f t="shared" si="6"/>
        <v>-36.253150218615019</v>
      </c>
      <c r="S27" s="283">
        <f t="shared" si="7"/>
        <v>-38.068652856038028</v>
      </c>
      <c r="T27" s="283">
        <f t="shared" si="8"/>
        <v>1.275664812499997</v>
      </c>
      <c r="U27" s="223">
        <f>'Dry Sunflowers-Oilseed'!$D$9</f>
        <v>16.5</v>
      </c>
      <c r="V27" s="223" t="str">
        <f>'Dry Sunflowers-Oilseed'!$C$9</f>
        <v>cwt</v>
      </c>
      <c r="W27" s="309">
        <f t="shared" si="9"/>
        <v>12.197160619310001</v>
      </c>
      <c r="X27" s="309">
        <f>IF($U27=0, 0, IF('Dry Sunflowers-Oilseed'!$E$9=0,0,L27/$U27/(1-'Dry Sunflowers-Oilseed'!$E$9)))</f>
        <v>13.443568779379287</v>
      </c>
      <c r="Y27" s="309">
        <f>IF($U27=0, 0, IF('Dry Sunflowers-Oilseed'!$E$9=0,0,M27/$U27/('Dry Sunflowers-Oilseed'!$E$9)))</f>
        <v>9.7657181244260798</v>
      </c>
    </row>
    <row r="28" spans="1:25" ht="16.5" customHeight="1" x14ac:dyDescent="0.25">
      <c r="A28" s="284" t="str">
        <f>'Dry Wheat'!$A$3:$H$3</f>
        <v>Dryland Wheat</v>
      </c>
      <c r="B28" s="124">
        <f>'Dry Wheat'!F$13</f>
        <v>108.2</v>
      </c>
      <c r="C28" s="124">
        <f>'Dry Wheat'!G$13</f>
        <v>72.494</v>
      </c>
      <c r="D28" s="124">
        <f>'Dry Wheat'!H$13</f>
        <v>35.706000000000003</v>
      </c>
      <c r="E28" s="226">
        <f>'Dry Wheat'!F$44</f>
        <v>111.8527108352941</v>
      </c>
      <c r="F28" s="226">
        <f>'Dry Wheat'!G$44</f>
        <v>98.765588709999989</v>
      </c>
      <c r="G28" s="226">
        <f>'Dry Wheat'!H$44</f>
        <v>12.709125</v>
      </c>
      <c r="H28" s="283">
        <f t="shared" si="0"/>
        <v>-3.6527108352941013</v>
      </c>
      <c r="I28" s="283">
        <f t="shared" si="1"/>
        <v>-26.271588709999989</v>
      </c>
      <c r="J28" s="283">
        <f t="shared" si="2"/>
        <v>22.996875000000003</v>
      </c>
      <c r="K28" s="229">
        <f>'Dry Wheat'!F$58</f>
        <v>165.0327108352941</v>
      </c>
      <c r="L28" s="229">
        <f>'Dry Wheat'!G$58</f>
        <v>125.44558870999998</v>
      </c>
      <c r="M28" s="229">
        <f>'Dry Wheat'!H$58</f>
        <v>39.209125</v>
      </c>
      <c r="N28" s="139" t="e">
        <f>'Dry Wheat'!#REF!</f>
        <v>#REF!</v>
      </c>
      <c r="O28" s="221" t="e">
        <f t="shared" si="16"/>
        <v>#REF!</v>
      </c>
      <c r="P28" s="221" t="e">
        <f t="shared" si="16"/>
        <v>#REF!</v>
      </c>
      <c r="Q28" s="221" t="e">
        <f t="shared" si="16"/>
        <v>#REF!</v>
      </c>
      <c r="R28" s="283">
        <f t="shared" si="6"/>
        <v>-56.832710835294094</v>
      </c>
      <c r="S28" s="283">
        <f t="shared" si="7"/>
        <v>-52.951588709999982</v>
      </c>
      <c r="T28" s="283">
        <f t="shared" si="8"/>
        <v>-3.5031249999999972</v>
      </c>
      <c r="U28" s="223">
        <f>'Dry Wheat'!$D$9</f>
        <v>3.95</v>
      </c>
      <c r="V28" s="223" t="str">
        <f>'Dry Wheat'!$C$9</f>
        <v>bu</v>
      </c>
      <c r="W28" s="309">
        <f>IF($U28=0, 0, (K28-'Dry Wheat'!$F$10)/$U28)</f>
        <v>34.388028059568128</v>
      </c>
      <c r="X28" s="309">
        <f>IF($U28=0, 0, IF('Dry Wheat'!$E$9=0,0,(L28-'Dry Wheat'!$G$10)/$U28/(1-'Dry Wheat'!$E$9)))</f>
        <v>40.008157457018697</v>
      </c>
      <c r="Y28" s="309">
        <f>IF($U28=0, 0, IF('Dry Wheat'!$E$9=0,0,(M28-'Dry Wheat'!$H$10)/$U28/('Dry Wheat'!$E$9)))</f>
        <v>22.687476026083619</v>
      </c>
    </row>
    <row r="29" spans="1:25" ht="16.5" customHeight="1" x14ac:dyDescent="0.25">
      <c r="A29" s="284" t="str">
        <f>'Dry Other Crop'!$A$3:$H$3</f>
        <v>Dryland Other Crop</v>
      </c>
      <c r="B29" s="124">
        <f>'Dry Other Crop'!F$12</f>
        <v>0</v>
      </c>
      <c r="C29" s="124">
        <f>'Dry Other Crop'!G$12</f>
        <v>0</v>
      </c>
      <c r="D29" s="124">
        <f>'Dry Other Crop'!H$12</f>
        <v>0</v>
      </c>
      <c r="E29" s="226">
        <f>'Dry Other Crop'!F$44</f>
        <v>0</v>
      </c>
      <c r="F29" s="226">
        <f>'Dry Other Crop'!G$44</f>
        <v>0</v>
      </c>
      <c r="G29" s="226">
        <f>'Dry Other Crop'!H$44</f>
        <v>0</v>
      </c>
      <c r="H29" s="283">
        <f t="shared" si="0"/>
        <v>0</v>
      </c>
      <c r="I29" s="283">
        <f t="shared" si="1"/>
        <v>0</v>
      </c>
      <c r="J29" s="283">
        <f t="shared" si="2"/>
        <v>0</v>
      </c>
      <c r="K29" s="229">
        <f>'Dry Other Crop'!F$58</f>
        <v>0</v>
      </c>
      <c r="L29" s="229">
        <f>'Dry Other Crop'!G$58</f>
        <v>0</v>
      </c>
      <c r="M29" s="229">
        <f>'Dry Other Crop'!H$58</f>
        <v>0</v>
      </c>
      <c r="N29" s="139" t="e">
        <f>'Dry Other Crop'!#REF!</f>
        <v>#REF!</v>
      </c>
      <c r="O29" s="221" t="e">
        <f t="shared" si="16"/>
        <v>#REF!</v>
      </c>
      <c r="P29" s="221" t="e">
        <f t="shared" si="16"/>
        <v>#REF!</v>
      </c>
      <c r="Q29" s="221" t="e">
        <f t="shared" si="16"/>
        <v>#REF!</v>
      </c>
      <c r="R29" s="283">
        <f t="shared" si="6"/>
        <v>0</v>
      </c>
      <c r="S29" s="283">
        <f t="shared" si="7"/>
        <v>0</v>
      </c>
      <c r="T29" s="283">
        <f t="shared" si="8"/>
        <v>0</v>
      </c>
      <c r="U29" s="223">
        <f>'Dry Other Crop'!$D$9</f>
        <v>0</v>
      </c>
      <c r="V29" s="223" t="str">
        <f>'Dry Other Crop'!$C$9</f>
        <v>unit</v>
      </c>
      <c r="W29" s="309">
        <f>IF($U29=0, 0, (K29-'Dry Other Crop'!$F$10)/$U29)</f>
        <v>0</v>
      </c>
      <c r="X29" s="309">
        <f>IF($U29=0, 0, IF('Dry Other Crop'!$E$9=0,0,(L29-'Dry Other Crop'!$G$10)/$U29/(1-'Dry Other Crop'!$E$9)))</f>
        <v>0</v>
      </c>
      <c r="Y29" s="309">
        <f>IF($U29=0, 0, IF('Dry Other Crop'!$E$9=0,0,(M29-'Dry Other Crop'!$H$10)/$U29/('Dry Other Crop'!$E$9)))</f>
        <v>0</v>
      </c>
    </row>
    <row r="30" spans="1:25" x14ac:dyDescent="0.25">
      <c r="B30" s="125"/>
      <c r="C30" s="125"/>
      <c r="D30" s="125"/>
      <c r="E30" s="125"/>
      <c r="F30" s="125"/>
      <c r="G30" s="125"/>
      <c r="H30" s="125"/>
      <c r="I30" s="125"/>
      <c r="J30" s="125"/>
      <c r="K30" s="125"/>
      <c r="L30" s="125"/>
      <c r="M30" s="125"/>
      <c r="O30" s="125"/>
      <c r="P30" s="125"/>
      <c r="Q30" s="125"/>
      <c r="R30" s="58"/>
      <c r="S30" s="58"/>
      <c r="T30" s="58"/>
      <c r="U30" s="125"/>
      <c r="V30" s="125"/>
    </row>
    <row r="32" spans="1:25" x14ac:dyDescent="0.25">
      <c r="A32" s="93"/>
      <c r="G32" s="93"/>
      <c r="H32" s="93"/>
      <c r="I32" s="93"/>
      <c r="J32" s="93"/>
      <c r="K32" s="93"/>
      <c r="L32" s="93"/>
      <c r="M32" s="93"/>
      <c r="N32" s="140"/>
      <c r="O32" s="93"/>
      <c r="P32" s="93"/>
      <c r="Q32" s="93"/>
      <c r="R32" s="93"/>
      <c r="S32" s="93"/>
      <c r="T32" s="93"/>
      <c r="U32" s="93"/>
      <c r="V32" s="93"/>
      <c r="W32" s="93"/>
      <c r="X32" s="93"/>
      <c r="Y32" s="93"/>
    </row>
  </sheetData>
  <sheetProtection sheet="1" objects="1" scenarios="1" formatColumns="0" formatRows="0"/>
  <mergeCells count="7">
    <mergeCell ref="B5:D5"/>
    <mergeCell ref="W5:Y5"/>
    <mergeCell ref="H5:J5"/>
    <mergeCell ref="O5:Q5"/>
    <mergeCell ref="R5:T5"/>
    <mergeCell ref="E5:G5"/>
    <mergeCell ref="K5:M5"/>
  </mergeCells>
  <phoneticPr fontId="0" type="noConversion"/>
  <conditionalFormatting sqref="O7:T19 H7:J19 H21:J29 O21:T29">
    <cfRule type="cellIs" dxfId="4" priority="3" stopIfTrue="1" operator="lessThan">
      <formula>$B$2</formula>
    </cfRule>
    <cfRule type="cellIs" dxfId="3" priority="4" stopIfTrue="1" operator="greaterThanOrEqual">
      <formula>$B$2</formula>
    </cfRule>
  </conditionalFormatting>
  <conditionalFormatting sqref="H20:J20 O20:T20">
    <cfRule type="cellIs" dxfId="2" priority="1" stopIfTrue="1" operator="lessThan">
      <formula>$B$2</formula>
    </cfRule>
    <cfRule type="cellIs" dxfId="1" priority="2" stopIfTrue="1" operator="greaterThanOrEqual">
      <formula>$B$2</formula>
    </cfRule>
  </conditionalFormatting>
  <hyperlinks>
    <hyperlink ref="A7" location="'Irr Alfalfa'!A1" display="'Irr Alfalfa'!A1"/>
    <hyperlink ref="A8" location="'Irr Canola'!A1" display="'Irr Canola'!A1"/>
    <hyperlink ref="A9" location="'Irr Corn'!A1" display="'Irr Corn'!A1"/>
    <hyperlink ref="A10" location="'Irr Corn Silage'!A1" display="'Irr Corn Silage'!A1"/>
    <hyperlink ref="A11" location="'Irr Cotton'!A1" display="'Irr Cotton'!A1"/>
    <hyperlink ref="A12" location="'Irr Peanuts'!A1" display="'Irr Peanuts'!A1"/>
    <hyperlink ref="A13" location="'Irr Sorghum'!A1" display="'Irr Sorghum'!A1"/>
    <hyperlink ref="A14" location="'Irr Sorghum Seed'!A1" display="'Irr Sorghum Seed'!A1"/>
    <hyperlink ref="A15" location="'Irr Sorghum Silage'!A1" display="'Irr Sorghum Silage'!A1"/>
    <hyperlink ref="A16" location="'Irr Sorghum Sudangrass'!A1" display="'Irr Sorghum Sudangrass'!A1"/>
    <hyperlink ref="A17" location="'Irr Soybeans'!A1" display="'Irr Soybeans'!A1"/>
    <hyperlink ref="A18" location="'Irr Sunflowers-Confection'!A1" display="'Irr Sunflowers-Confection'!A1"/>
    <hyperlink ref="A19" location="'Irr Sunflowers-Oilseed'!A1" display="'Irr Sunflowers-Oilseed'!A1"/>
    <hyperlink ref="A21" location="'Irr Wheat'!A1" display="'Irr Wheat'!A1"/>
    <hyperlink ref="A22" location="'Irr Other Crop'!A1" display="'Irr Other Crop'!A1"/>
    <hyperlink ref="A23" location="'Dry Canola'!A1" display="'Dry Canola'!A1"/>
    <hyperlink ref="A24" location="'Dry Cotton'!A1" display="'Dry Cotton'!A1"/>
    <hyperlink ref="A25" location="'Dry Sorghum'!A1" display="'Dry Sorghum'!A1"/>
    <hyperlink ref="A26" location="'Dry Sorghum Sudangrass'!A1" display="'Dry Sorghum Sudangrass'!A1"/>
    <hyperlink ref="A27" location="'Dry Sunflowers-Oilseed'!A1" display="'Dry Sunflowers-Oilseed'!A1"/>
    <hyperlink ref="A28" location="'Dry Wheat'!A1" display="'Dry Wheat'!A1"/>
    <hyperlink ref="A29" location="'Dry Other Crop'!A1" display="'Dry Other Crop'!A1"/>
    <hyperlink ref="A20" location="'Irr Triticale Silage'!A1" display="'Irr Triticale Silage'!A1"/>
  </hyperlinks>
  <printOptions horizontalCentered="1"/>
  <pageMargins left="0.25" right="0.25" top="0.75" bottom="0.75" header="0.3" footer="0.3"/>
  <pageSetup scale="31" orientation="portrait" r:id="rId1"/>
  <headerFooter alignWithMargins="0">
    <oddFooter>&amp;C&amp;8Texas AgriLife Extension Service provides this software for educational use, solely on an “AS IS” basis and  assumes no liability for its use.</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B154"/>
  <sheetViews>
    <sheetView showGridLines="0" showRowColHeaders="0" workbookViewId="0">
      <pane xSplit="8" ySplit="10" topLeftCell="I11" activePane="bottomRight" state="frozen"/>
      <selection activeCell="B9" sqref="B9"/>
      <selection pane="topRight" activeCell="B9" sqref="B9"/>
      <selection pane="bottomLeft" activeCell="B9" sqref="B9"/>
      <selection pane="bottomRight" activeCell="B9" sqref="B9"/>
    </sheetView>
  </sheetViews>
  <sheetFormatPr defaultColWidth="9.109375" defaultRowHeight="13.2" x14ac:dyDescent="0.25"/>
  <cols>
    <col min="1" max="1" width="31.109375" style="96" bestFit="1" customWidth="1"/>
    <col min="2" max="2" width="9.44140625" style="96" customWidth="1"/>
    <col min="3" max="4" width="12.44140625" style="98" customWidth="1"/>
    <col min="5" max="5" width="12" style="98" bestFit="1" customWidth="1"/>
    <col min="6" max="6" width="10.5546875" style="98" customWidth="1"/>
    <col min="7" max="7" width="8" style="99" customWidth="1"/>
    <col min="8" max="8" width="9.88671875" style="98" customWidth="1"/>
    <col min="9" max="9" width="10.44140625" style="99" customWidth="1"/>
    <col min="10" max="10" width="12.5546875" style="103" customWidth="1"/>
    <col min="11" max="11" width="10.44140625" style="104" customWidth="1"/>
    <col min="12" max="15" width="12.5546875" style="103" customWidth="1"/>
    <col min="16" max="16" width="9.109375" customWidth="1"/>
    <col min="17" max="19" width="10.5546875" style="94" customWidth="1"/>
    <col min="20" max="20" width="12.44140625" style="94" customWidth="1"/>
    <col min="21" max="22" width="10.5546875" style="94" customWidth="1"/>
    <col min="23" max="23" width="12" customWidth="1"/>
    <col min="26" max="26" width="9.109375" style="77"/>
    <col min="27" max="16384" width="9.109375" style="96"/>
  </cols>
  <sheetData>
    <row r="1" spans="1:27" customFormat="1" ht="32.25" customHeight="1" x14ac:dyDescent="0.25">
      <c r="A1" s="77"/>
      <c r="B1" s="77"/>
      <c r="C1" s="77"/>
      <c r="D1" s="77"/>
      <c r="E1" s="77"/>
      <c r="F1" s="77"/>
      <c r="G1" s="77"/>
      <c r="K1" s="77"/>
      <c r="L1" s="77"/>
      <c r="M1" s="77"/>
      <c r="N1" s="77"/>
      <c r="O1" s="77"/>
      <c r="P1" s="77"/>
      <c r="Q1" s="77"/>
      <c r="R1" s="77"/>
    </row>
    <row r="2" spans="1:27" customFormat="1" ht="26.25" customHeight="1" x14ac:dyDescent="0.3">
      <c r="A2" s="200" t="s">
        <v>201</v>
      </c>
      <c r="B2" s="200"/>
      <c r="C2" s="200"/>
      <c r="D2" s="200"/>
      <c r="E2" s="200"/>
      <c r="F2" s="200"/>
      <c r="G2" s="287"/>
      <c r="H2" s="287"/>
      <c r="I2" s="287"/>
      <c r="J2" s="287"/>
      <c r="K2" s="287"/>
      <c r="L2" s="287"/>
      <c r="M2" s="287"/>
      <c r="N2" s="287"/>
      <c r="O2" s="287"/>
      <c r="P2" s="287"/>
      <c r="Q2" s="287"/>
      <c r="R2" s="287"/>
      <c r="S2" s="287"/>
      <c r="T2" s="287"/>
      <c r="U2" s="287"/>
      <c r="V2" s="287"/>
      <c r="W2" s="287"/>
      <c r="X2" s="287"/>
      <c r="Y2" s="287"/>
      <c r="Z2" s="287"/>
      <c r="AA2" s="287"/>
    </row>
    <row r="3" spans="1:27" ht="14.4" x14ac:dyDescent="0.3">
      <c r="A3" s="144" t="s">
        <v>184</v>
      </c>
      <c r="B3" s="334" t="s">
        <v>192</v>
      </c>
      <c r="C3" s="334"/>
      <c r="D3" s="334"/>
      <c r="E3" s="334"/>
      <c r="F3" s="334"/>
      <c r="G3" s="287"/>
      <c r="H3" s="287"/>
      <c r="I3" s="287"/>
      <c r="J3" s="287"/>
      <c r="K3" s="287"/>
      <c r="L3" s="287"/>
      <c r="M3" s="287"/>
      <c r="N3" s="287"/>
      <c r="O3" s="287"/>
      <c r="P3" s="287"/>
      <c r="Q3" s="287"/>
      <c r="R3" s="287"/>
      <c r="S3" s="287"/>
      <c r="T3" s="287"/>
      <c r="U3" s="287"/>
      <c r="V3" s="287"/>
      <c r="W3" s="287"/>
      <c r="X3" s="287"/>
      <c r="Y3" s="287"/>
      <c r="Z3" s="287"/>
      <c r="AA3" s="287"/>
    </row>
    <row r="4" spans="1:27" ht="14.4" x14ac:dyDescent="0.3">
      <c r="A4" s="144" t="s">
        <v>262</v>
      </c>
      <c r="B4" s="288">
        <v>500</v>
      </c>
      <c r="C4" s="145"/>
      <c r="D4" s="145"/>
      <c r="E4" s="145"/>
      <c r="F4" s="145"/>
      <c r="G4" s="287"/>
      <c r="H4" s="287"/>
      <c r="I4" s="287"/>
      <c r="J4" s="287"/>
      <c r="K4" s="287"/>
      <c r="L4" s="287"/>
      <c r="M4" s="287"/>
      <c r="N4" s="287"/>
      <c r="O4" s="287"/>
      <c r="P4" s="287"/>
      <c r="Q4" s="287"/>
      <c r="R4" s="287"/>
      <c r="S4" s="287"/>
      <c r="T4" s="287"/>
      <c r="U4" s="287"/>
      <c r="V4" s="287"/>
      <c r="W4" s="287"/>
      <c r="X4" s="287"/>
      <c r="Y4" s="287"/>
      <c r="Z4" s="287"/>
      <c r="AA4" s="287"/>
    </row>
    <row r="5" spans="1:27" ht="14.4" x14ac:dyDescent="0.3">
      <c r="A5" s="144" t="s">
        <v>261</v>
      </c>
      <c r="B5" s="256">
        <v>120</v>
      </c>
      <c r="C5" s="145"/>
      <c r="D5" s="145"/>
      <c r="E5" s="145"/>
      <c r="F5" s="145"/>
      <c r="G5" s="287"/>
      <c r="H5" s="287"/>
      <c r="I5" s="287"/>
      <c r="J5" s="287"/>
      <c r="K5" s="287"/>
      <c r="L5" s="287"/>
      <c r="M5" s="287"/>
      <c r="N5" s="287"/>
      <c r="O5" s="287"/>
      <c r="P5" s="287"/>
      <c r="Q5" s="287"/>
      <c r="R5" s="287"/>
      <c r="S5" s="287"/>
      <c r="T5" s="287"/>
      <c r="U5" s="287"/>
      <c r="V5" s="287"/>
      <c r="W5" s="287"/>
      <c r="X5" s="287"/>
      <c r="Y5" s="287"/>
      <c r="Z5" s="287"/>
      <c r="AA5" s="287"/>
    </row>
    <row r="6" spans="1:27" ht="14.4" x14ac:dyDescent="0.3">
      <c r="A6" s="144" t="s">
        <v>182</v>
      </c>
      <c r="B6" s="257" t="s">
        <v>217</v>
      </c>
      <c r="C6" s="145"/>
      <c r="D6" s="145"/>
      <c r="E6" s="145"/>
      <c r="F6" s="145"/>
      <c r="G6" s="287"/>
      <c r="H6" s="287"/>
      <c r="I6" s="287"/>
      <c r="J6" s="287"/>
      <c r="K6" s="287"/>
      <c r="L6" s="287"/>
      <c r="M6" s="287"/>
      <c r="N6" s="287"/>
      <c r="O6" s="287"/>
      <c r="P6" s="287"/>
      <c r="Q6" s="287"/>
      <c r="R6" s="287"/>
      <c r="S6" s="287"/>
      <c r="T6" s="287"/>
      <c r="U6" s="287"/>
      <c r="V6" s="287"/>
      <c r="W6" s="287"/>
      <c r="X6" s="287"/>
      <c r="Y6" s="287"/>
      <c r="Z6" s="287"/>
      <c r="AA6" s="287"/>
    </row>
    <row r="7" spans="1:27" ht="14.4" x14ac:dyDescent="0.3">
      <c r="A7" s="144" t="s">
        <v>260</v>
      </c>
      <c r="B7" s="301">
        <v>15</v>
      </c>
      <c r="C7" s="145"/>
      <c r="D7" s="145"/>
      <c r="E7" s="145"/>
      <c r="F7" s="145"/>
      <c r="G7" s="287"/>
      <c r="H7" s="287"/>
      <c r="I7" s="287"/>
      <c r="J7" s="287"/>
      <c r="K7" s="287"/>
      <c r="L7" s="287"/>
      <c r="M7" s="287"/>
      <c r="N7" s="287"/>
      <c r="O7" s="287"/>
      <c r="P7" s="287"/>
      <c r="Q7" s="287"/>
      <c r="R7" s="287"/>
      <c r="S7" s="287"/>
      <c r="T7" s="287"/>
      <c r="U7" s="287"/>
      <c r="V7" s="287"/>
      <c r="W7" s="287"/>
      <c r="X7" s="287"/>
      <c r="Y7" s="287"/>
      <c r="Z7" s="287"/>
      <c r="AA7" s="287"/>
    </row>
    <row r="8" spans="1:27" ht="14.4" x14ac:dyDescent="0.3">
      <c r="A8" s="144" t="s">
        <v>259</v>
      </c>
      <c r="B8" s="293">
        <v>160</v>
      </c>
      <c r="C8" s="145"/>
      <c r="D8" s="145"/>
      <c r="E8" s="145"/>
      <c r="F8" s="145"/>
      <c r="G8" s="287"/>
      <c r="H8" s="287"/>
      <c r="I8" s="287"/>
      <c r="J8" s="287"/>
      <c r="K8" s="287"/>
      <c r="L8" s="287"/>
      <c r="M8" s="287"/>
      <c r="N8" s="287"/>
      <c r="O8" s="287"/>
      <c r="P8" s="287"/>
      <c r="Q8" s="287"/>
      <c r="R8" s="287"/>
      <c r="S8" s="287"/>
      <c r="T8" s="287"/>
      <c r="U8" s="287"/>
      <c r="V8" s="287"/>
      <c r="W8" s="287"/>
      <c r="X8" s="287"/>
      <c r="Y8" s="287"/>
      <c r="Z8" s="287"/>
      <c r="AA8" s="287"/>
    </row>
    <row r="9" spans="1:27" s="95" customFormat="1" ht="37.5" customHeight="1" x14ac:dyDescent="0.25">
      <c r="A9" s="148"/>
      <c r="B9" s="148"/>
      <c r="C9" s="148"/>
      <c r="D9" s="148"/>
      <c r="E9" s="151"/>
      <c r="F9" s="151"/>
      <c r="G9" s="151"/>
      <c r="H9" s="298"/>
      <c r="I9" s="299"/>
      <c r="J9" s="297"/>
      <c r="K9" s="297"/>
      <c r="L9" s="297"/>
      <c r="M9" s="297"/>
      <c r="N9" s="297"/>
      <c r="O9" s="297"/>
      <c r="P9" s="297"/>
      <c r="Q9" s="335" t="s">
        <v>156</v>
      </c>
      <c r="R9" s="336"/>
      <c r="S9" s="336"/>
      <c r="T9" s="336"/>
      <c r="U9" s="336"/>
      <c r="V9" s="336"/>
      <c r="W9" s="337"/>
      <c r="X9" s="152"/>
      <c r="Z9" s="147"/>
    </row>
    <row r="10" spans="1:27" s="95" customFormat="1" ht="42.75" customHeight="1" x14ac:dyDescent="0.25">
      <c r="A10" s="281" t="s">
        <v>78</v>
      </c>
      <c r="B10" s="201" t="s">
        <v>222</v>
      </c>
      <c r="C10" s="149" t="s">
        <v>250</v>
      </c>
      <c r="D10" s="149" t="s">
        <v>251</v>
      </c>
      <c r="E10" s="154" t="s">
        <v>186</v>
      </c>
      <c r="F10" s="154" t="s">
        <v>187</v>
      </c>
      <c r="G10" s="204" t="s">
        <v>160</v>
      </c>
      <c r="H10" s="204" t="s">
        <v>150</v>
      </c>
      <c r="I10" s="300" t="s">
        <v>193</v>
      </c>
      <c r="J10" s="209" t="str">
        <f>$A27</f>
        <v>Dryland Canola</v>
      </c>
      <c r="K10" s="209" t="str">
        <f>A28</f>
        <v>Dryland Cotton</v>
      </c>
      <c r="L10" s="209" t="str">
        <f>A29</f>
        <v>Dryland Sorghum</v>
      </c>
      <c r="M10" s="209" t="str">
        <f>A30</f>
        <v>Dryland Sorghum Sudangrass</v>
      </c>
      <c r="N10" s="209" t="str">
        <f>A31</f>
        <v xml:space="preserve">Dryland Sunflowers-Oilseed </v>
      </c>
      <c r="O10" s="209" t="str">
        <f>A32</f>
        <v>Dryland Wheat</v>
      </c>
      <c r="P10" s="210" t="str">
        <f>A33</f>
        <v>Dryland Other Crop</v>
      </c>
      <c r="Q10" s="209" t="s">
        <v>159</v>
      </c>
      <c r="R10" s="209" t="s">
        <v>157</v>
      </c>
      <c r="S10" s="209" t="s">
        <v>188</v>
      </c>
      <c r="T10" s="209" t="s">
        <v>189</v>
      </c>
      <c r="U10" s="209" t="s">
        <v>190</v>
      </c>
      <c r="V10" s="209" t="s">
        <v>158</v>
      </c>
      <c r="W10" s="209" t="s">
        <v>191</v>
      </c>
      <c r="Z10" s="147"/>
    </row>
    <row r="11" spans="1:27" x14ac:dyDescent="0.25">
      <c r="A11" s="280" t="str">
        <f>'Irr Alfalfa'!$A$3:$H$3</f>
        <v xml:space="preserve">Irrigated Alfalfa </v>
      </c>
      <c r="B11" s="311">
        <f>Alfalfa_GPM</f>
        <v>8.0001159625243066</v>
      </c>
      <c r="C11" s="150" t="s">
        <v>148</v>
      </c>
      <c r="D11" s="310">
        <f>IF(Alfalfa_Inches=0,0,MIN(IF(B11=0,0,MIN($B$5,$B$4/B11)),$B$7*$B$8/Alfalfa_Inches))</f>
        <v>62.499094055910803</v>
      </c>
      <c r="E11" s="251">
        <f>IF((D11)&gt;$B$5,$B$5,IF($B$6="None",(D11),FLOOR((D11),($B$5*$B$6))))</f>
        <v>62.499094055910803</v>
      </c>
      <c r="F11" s="251">
        <f>$B$5-E11</f>
        <v>57.500905944089197</v>
      </c>
      <c r="G11" s="205">
        <f>'Comparative Returns'!H7</f>
        <v>271.08464078873544</v>
      </c>
      <c r="H11" s="205">
        <f>'Comparative Returns'!O7</f>
        <v>11.29519336619731</v>
      </c>
      <c r="I11" s="237">
        <f>IF(SUBTOTAL(102,$G11)=1,G11*E11,"-")</f>
        <v>16942.544461767971</v>
      </c>
      <c r="J11" s="238">
        <f t="shared" ref="J11:J23" si="0">F11*$G$27</f>
        <v>202.52328877325306</v>
      </c>
      <c r="K11" s="238">
        <f t="shared" ref="K11:K23" si="1">F11*$G$28</f>
        <v>1716.8360556596451</v>
      </c>
      <c r="L11" s="238">
        <f t="shared" ref="L11:L23" si="2">F11*$G$29</f>
        <v>-737.26522183349255</v>
      </c>
      <c r="M11" s="238">
        <f t="shared" ref="M11:M23" si="3">F11*$G$30</f>
        <v>1409.0796627781526</v>
      </c>
      <c r="N11" s="238">
        <f t="shared" ref="N11:N23" si="4">F11*$G$31</f>
        <v>738.13049189781998</v>
      </c>
      <c r="O11" s="238">
        <f t="shared" ref="O11:O23" si="5">F11*$G$32</f>
        <v>-210.0341821812016</v>
      </c>
      <c r="P11" s="239">
        <f t="shared" ref="P11:P23" si="6">F11*$G$33</f>
        <v>0</v>
      </c>
      <c r="Q11" s="238">
        <f t="shared" ref="Q11:Q26" si="7">IF(SUBTOTAL(102,$G11,$G$27)=2,IF($I11=($I11+J11),"-",($I11+J11)),"-")</f>
        <v>17145.067750541224</v>
      </c>
      <c r="R11" s="238">
        <f t="shared" ref="R11:R26" si="8">IF(SUBTOTAL(102,$G11,$G$28)=2,IF($I11=($I11+K11),"-",($I11+K11)),"-")</f>
        <v>18659.380517427617</v>
      </c>
      <c r="S11" s="238">
        <f t="shared" ref="S11:S26" si="9">IF(SUBTOTAL(102,$G11,$G$29)=2,IF($I11=($I11+L11),"-",($I11+L11)),"-")</f>
        <v>16205.279239934478</v>
      </c>
      <c r="T11" s="238">
        <f t="shared" ref="T11:T26" si="10">IF(SUBTOTAL(102,$G11,$G$30)=2,IF($I11=($I11+M11),"-",($I11+M11)),"-")</f>
        <v>18351.624124546124</v>
      </c>
      <c r="U11" s="238">
        <f t="shared" ref="U11:U26" si="11">IF(SUBTOTAL(102,$G11,$G$31)=2,IF($I11=($I11+N11),"-",($I11+N11)),"-")</f>
        <v>17680.674953665792</v>
      </c>
      <c r="V11" s="238">
        <f t="shared" ref="V11:V26" si="12">IF(SUBTOTAL(102,$G11,$G$32)=2,IF($I11=($I11+O11),"-",($I11+O11)),"-")</f>
        <v>16732.510279586772</v>
      </c>
      <c r="W11" s="238" t="str">
        <f t="shared" ref="W11:W26" si="13">IF(SUBTOTAL(102,$G11,$G$33)=2,IF($I11=($I11+P11),"-",($I11+P11)),"-")</f>
        <v>-</v>
      </c>
      <c r="X11" s="96"/>
      <c r="Y11" s="96"/>
      <c r="Z11" s="146"/>
    </row>
    <row r="12" spans="1:27" x14ac:dyDescent="0.25">
      <c r="A12" s="280" t="str">
        <f>'Irr Canola'!$A$3:$H$3</f>
        <v>Irrigated Canola</v>
      </c>
      <c r="B12" s="311">
        <f>Canola_GPM</f>
        <v>2.000099703012304</v>
      </c>
      <c r="C12" s="150" t="s">
        <v>144</v>
      </c>
      <c r="D12" s="310">
        <f>IF(Canola_Inches=0,0,MIN(IF(B12=0,0,MIN($B$5,$B$4/B12)),$B$7*$B$8/Canola_Inches))</f>
        <v>120</v>
      </c>
      <c r="E12" s="251">
        <f t="shared" ref="E12:E26" si="14">IF((D12)&gt;$B$5,$B$5,IF($B$6="None",(D12),FLOOR((D12),($B$5*$B$6))))</f>
        <v>120</v>
      </c>
      <c r="F12" s="251">
        <f t="shared" ref="F12:F26" si="15">$B$5-E12</f>
        <v>0</v>
      </c>
      <c r="G12" s="205">
        <f>'Comparative Returns'!H8</f>
        <v>21.525294966200761</v>
      </c>
      <c r="H12" s="205">
        <f>'Comparative Returns'!O8</f>
        <v>2.1525294966200761</v>
      </c>
      <c r="I12" s="237">
        <f t="shared" ref="I12:I26" si="16">IF(SUBTOTAL(102,$G12)=1,G12*E12,"-")</f>
        <v>2583.0353959440913</v>
      </c>
      <c r="J12" s="238">
        <f t="shared" si="0"/>
        <v>0</v>
      </c>
      <c r="K12" s="238">
        <f t="shared" si="1"/>
        <v>0</v>
      </c>
      <c r="L12" s="238">
        <f t="shared" si="2"/>
        <v>0</v>
      </c>
      <c r="M12" s="238">
        <f t="shared" si="3"/>
        <v>0</v>
      </c>
      <c r="N12" s="238">
        <f t="shared" si="4"/>
        <v>0</v>
      </c>
      <c r="O12" s="238">
        <f t="shared" si="5"/>
        <v>0</v>
      </c>
      <c r="P12" s="239">
        <f t="shared" si="6"/>
        <v>0</v>
      </c>
      <c r="Q12" s="238" t="str">
        <f t="shared" si="7"/>
        <v>-</v>
      </c>
      <c r="R12" s="238" t="str">
        <f t="shared" si="8"/>
        <v>-</v>
      </c>
      <c r="S12" s="238" t="str">
        <f t="shared" si="9"/>
        <v>-</v>
      </c>
      <c r="T12" s="238" t="str">
        <f t="shared" si="10"/>
        <v>-</v>
      </c>
      <c r="U12" s="238" t="str">
        <f t="shared" si="11"/>
        <v>-</v>
      </c>
      <c r="V12" s="238" t="str">
        <f t="shared" si="12"/>
        <v>-</v>
      </c>
      <c r="W12" s="238" t="str">
        <f t="shared" si="13"/>
        <v>-</v>
      </c>
      <c r="X12" s="96"/>
      <c r="Y12" s="96"/>
      <c r="Z12" s="130"/>
    </row>
    <row r="13" spans="1:27" x14ac:dyDescent="0.25">
      <c r="A13" s="280" t="str">
        <f>'Irr Corn'!$A$3:$H$3</f>
        <v>Irrigated Corn</v>
      </c>
      <c r="B13" s="311">
        <f>Corn_GPM</f>
        <v>6.0001833960080999</v>
      </c>
      <c r="C13" s="150" t="s">
        <v>146</v>
      </c>
      <c r="D13" s="310">
        <f>IF(Corn_Inches=0,0,MIN(IF(B13=0,0,MIN($B$5,$B$4/B13)),$B$7*$B$8/Corn_Inches))</f>
        <v>83.330786244408486</v>
      </c>
      <c r="E13" s="251">
        <f t="shared" si="14"/>
        <v>83.330786244408486</v>
      </c>
      <c r="F13" s="251">
        <f t="shared" si="15"/>
        <v>36.669213755591514</v>
      </c>
      <c r="G13" s="205">
        <f>'Comparative Returns'!H9</f>
        <v>215.49175698144927</v>
      </c>
      <c r="H13" s="205">
        <f>'Comparative Returns'!O9</f>
        <v>9.7950798627931484</v>
      </c>
      <c r="I13" s="237">
        <f t="shared" si="16"/>
        <v>17957.09753845317</v>
      </c>
      <c r="J13" s="238">
        <f t="shared" si="0"/>
        <v>129.15222194469089</v>
      </c>
      <c r="K13" s="238">
        <f t="shared" si="1"/>
        <v>1094.8528075280108</v>
      </c>
      <c r="L13" s="238">
        <f t="shared" si="2"/>
        <v>-470.16539252900225</v>
      </c>
      <c r="M13" s="238">
        <f t="shared" si="3"/>
        <v>898.59181355003125</v>
      </c>
      <c r="N13" s="238">
        <f t="shared" si="4"/>
        <v>470.71718858202416</v>
      </c>
      <c r="O13" s="238">
        <f t="shared" si="5"/>
        <v>-133.94203440676463</v>
      </c>
      <c r="P13" s="239">
        <f t="shared" si="6"/>
        <v>0</v>
      </c>
      <c r="Q13" s="238">
        <f t="shared" si="7"/>
        <v>18086.249760397863</v>
      </c>
      <c r="R13" s="238">
        <f t="shared" si="8"/>
        <v>19051.950345981182</v>
      </c>
      <c r="S13" s="238">
        <f t="shared" si="9"/>
        <v>17486.932145924169</v>
      </c>
      <c r="T13" s="238">
        <f t="shared" si="10"/>
        <v>18855.689352003203</v>
      </c>
      <c r="U13" s="238">
        <f t="shared" si="11"/>
        <v>18427.814727035195</v>
      </c>
      <c r="V13" s="238">
        <f t="shared" si="12"/>
        <v>17823.155504046405</v>
      </c>
      <c r="W13" s="238" t="str">
        <f t="shared" si="13"/>
        <v>-</v>
      </c>
      <c r="X13" s="96"/>
      <c r="Y13" s="96"/>
      <c r="Z13" s="130"/>
    </row>
    <row r="14" spans="1:27" x14ac:dyDescent="0.25">
      <c r="A14" s="280" t="str">
        <f>'Irr Corn Silage'!$A$3:$H$3</f>
        <v>Irrigated Corn Silage</v>
      </c>
      <c r="B14" s="311">
        <f>Corn_Silage_GPM</f>
        <v>5.9996627426026103</v>
      </c>
      <c r="C14" s="150" t="s">
        <v>146</v>
      </c>
      <c r="D14" s="310">
        <f>IF(Corn_Silage_Inches=0,0,MIN(IF(B14=0,0,MIN($B$5,$B$4/B14)),$B$7*$B$8/Corn_Silage_Inches))</f>
        <v>83.338017727160377</v>
      </c>
      <c r="E14" s="251">
        <f t="shared" si="14"/>
        <v>83.338017727160377</v>
      </c>
      <c r="F14" s="251">
        <f t="shared" si="15"/>
        <v>36.661982272839623</v>
      </c>
      <c r="G14" s="205">
        <f>'Comparative Returns'!H10</f>
        <v>142.42559753392902</v>
      </c>
      <c r="H14" s="205">
        <f>'Comparative Returns'!O10</f>
        <v>7.1212798766964509</v>
      </c>
      <c r="I14" s="237">
        <f t="shared" si="16"/>
        <v>11869.466972083987</v>
      </c>
      <c r="J14" s="238">
        <f t="shared" si="0"/>
        <v>129.12675202129449</v>
      </c>
      <c r="K14" s="238">
        <f t="shared" si="1"/>
        <v>1094.6368931850889</v>
      </c>
      <c r="L14" s="238">
        <f t="shared" si="2"/>
        <v>-470.07267189012322</v>
      </c>
      <c r="M14" s="238">
        <f t="shared" si="3"/>
        <v>898.41460355463869</v>
      </c>
      <c r="N14" s="238">
        <f t="shared" si="4"/>
        <v>470.62435912424149</v>
      </c>
      <c r="O14" s="238">
        <f t="shared" si="5"/>
        <v>-133.91561989136156</v>
      </c>
      <c r="P14" s="239">
        <f t="shared" si="6"/>
        <v>0</v>
      </c>
      <c r="Q14" s="238">
        <f t="shared" si="7"/>
        <v>11998.593724105282</v>
      </c>
      <c r="R14" s="238">
        <f t="shared" si="8"/>
        <v>12964.103865269075</v>
      </c>
      <c r="S14" s="238">
        <f t="shared" si="9"/>
        <v>11399.394300193864</v>
      </c>
      <c r="T14" s="238">
        <f t="shared" si="10"/>
        <v>12767.881575638625</v>
      </c>
      <c r="U14" s="238">
        <f t="shared" si="11"/>
        <v>12340.091331208228</v>
      </c>
      <c r="V14" s="238">
        <f t="shared" si="12"/>
        <v>11735.551352192624</v>
      </c>
      <c r="W14" s="238" t="str">
        <f t="shared" si="13"/>
        <v>-</v>
      </c>
      <c r="X14" s="96"/>
      <c r="Y14" s="96"/>
      <c r="Z14" s="130"/>
    </row>
    <row r="15" spans="1:27" x14ac:dyDescent="0.25">
      <c r="A15" s="280" t="str">
        <f>'Irr Cotton'!$A$3:$H$3</f>
        <v>Irrigated Cotton</v>
      </c>
      <c r="B15" s="311">
        <f>Cotton_GPM</f>
        <v>2.9999109107782052</v>
      </c>
      <c r="C15" s="150" t="s">
        <v>144</v>
      </c>
      <c r="D15" s="310">
        <f>IF(Cotton_Inches=0,0,MIN(IF(B15=0,0,MIN($B$5,$B$4/B15)),$B$7*$B$8/Cotton_Inches))</f>
        <v>120</v>
      </c>
      <c r="E15" s="251">
        <f t="shared" si="14"/>
        <v>120</v>
      </c>
      <c r="F15" s="251">
        <f t="shared" si="15"/>
        <v>0</v>
      </c>
      <c r="G15" s="205">
        <f>'Comparative Returns'!H11</f>
        <v>352.95468965536975</v>
      </c>
      <c r="H15" s="205">
        <f>'Comparative Returns'!O11</f>
        <v>29.412890804614147</v>
      </c>
      <c r="I15" s="237">
        <f t="shared" si="16"/>
        <v>42354.562758644373</v>
      </c>
      <c r="J15" s="238">
        <f t="shared" si="0"/>
        <v>0</v>
      </c>
      <c r="K15" s="238">
        <f t="shared" si="1"/>
        <v>0</v>
      </c>
      <c r="L15" s="238">
        <f t="shared" si="2"/>
        <v>0</v>
      </c>
      <c r="M15" s="238">
        <f t="shared" si="3"/>
        <v>0</v>
      </c>
      <c r="N15" s="238">
        <f t="shared" si="4"/>
        <v>0</v>
      </c>
      <c r="O15" s="238">
        <f t="shared" si="5"/>
        <v>0</v>
      </c>
      <c r="P15" s="239">
        <f t="shared" si="6"/>
        <v>0</v>
      </c>
      <c r="Q15" s="238" t="str">
        <f t="shared" si="7"/>
        <v>-</v>
      </c>
      <c r="R15" s="238" t="str">
        <f t="shared" si="8"/>
        <v>-</v>
      </c>
      <c r="S15" s="238" t="str">
        <f t="shared" si="9"/>
        <v>-</v>
      </c>
      <c r="T15" s="238" t="str">
        <f t="shared" si="10"/>
        <v>-</v>
      </c>
      <c r="U15" s="238" t="str">
        <f t="shared" si="11"/>
        <v>-</v>
      </c>
      <c r="V15" s="238" t="str">
        <f t="shared" si="12"/>
        <v>-</v>
      </c>
      <c r="W15" s="238" t="str">
        <f t="shared" si="13"/>
        <v>-</v>
      </c>
      <c r="X15" s="96"/>
      <c r="Y15" s="96"/>
      <c r="Z15" s="130"/>
    </row>
    <row r="16" spans="1:27" x14ac:dyDescent="0.25">
      <c r="A16" s="280" t="str">
        <f>'Irr Peanuts'!$A$3:$H$3</f>
        <v>Irrigated Peanuts</v>
      </c>
      <c r="B16" s="311">
        <f>Peanuts_GPM</f>
        <v>4.9999462121212117</v>
      </c>
      <c r="C16" s="150" t="s">
        <v>147</v>
      </c>
      <c r="D16" s="310">
        <f>IF(Peanuts_Inches=0,0,MIN(IF(B16=0,0,MIN($B$5,$B$4/B16)),$B$7*$B$8/Peanuts_Inches))</f>
        <v>100.00107576914843</v>
      </c>
      <c r="E16" s="251">
        <f t="shared" si="14"/>
        <v>100.00107576914843</v>
      </c>
      <c r="F16" s="251">
        <f t="shared" si="15"/>
        <v>19.998924230851571</v>
      </c>
      <c r="G16" s="205">
        <f>'Comparative Returns'!H12</f>
        <v>203.42781204141727</v>
      </c>
      <c r="H16" s="205">
        <f>'Comparative Returns'!O12</f>
        <v>9.6870386686389178</v>
      </c>
      <c r="I16" s="237">
        <f t="shared" si="16"/>
        <v>20343.000045505854</v>
      </c>
      <c r="J16" s="238">
        <f t="shared" si="0"/>
        <v>70.437984248411752</v>
      </c>
      <c r="K16" s="238">
        <f t="shared" si="1"/>
        <v>597.11883891562877</v>
      </c>
      <c r="L16" s="238">
        <f t="shared" si="2"/>
        <v>-256.42224356998423</v>
      </c>
      <c r="M16" s="238">
        <f t="shared" si="3"/>
        <v>490.08058131353539</v>
      </c>
      <c r="N16" s="238">
        <f t="shared" si="4"/>
        <v>256.72318614074186</v>
      </c>
      <c r="O16" s="238">
        <f t="shared" si="5"/>
        <v>-73.05028723225729</v>
      </c>
      <c r="P16" s="239">
        <f t="shared" si="6"/>
        <v>0</v>
      </c>
      <c r="Q16" s="238">
        <f t="shared" si="7"/>
        <v>20413.438029754267</v>
      </c>
      <c r="R16" s="238">
        <f t="shared" si="8"/>
        <v>20940.118884421485</v>
      </c>
      <c r="S16" s="238">
        <f t="shared" si="9"/>
        <v>20086.57780193587</v>
      </c>
      <c r="T16" s="238">
        <f t="shared" si="10"/>
        <v>20833.080626819388</v>
      </c>
      <c r="U16" s="238">
        <f t="shared" si="11"/>
        <v>20599.723231646596</v>
      </c>
      <c r="V16" s="238">
        <f t="shared" si="12"/>
        <v>20269.949758273597</v>
      </c>
      <c r="W16" s="238" t="str">
        <f t="shared" si="13"/>
        <v>-</v>
      </c>
      <c r="X16" s="96"/>
      <c r="Y16" s="96"/>
      <c r="Z16" s="130"/>
    </row>
    <row r="17" spans="1:28" x14ac:dyDescent="0.25">
      <c r="A17" s="280" t="str">
        <f>'Irr Sorghum'!$A$3:$H$3</f>
        <v>Irrigated Sorghum</v>
      </c>
      <c r="B17" s="311">
        <f>Sorghum_GPM</f>
        <v>2.4999257589818376</v>
      </c>
      <c r="C17" s="150" t="s">
        <v>145</v>
      </c>
      <c r="D17" s="310">
        <f>IF(Sorghum_Inches=0,0,MIN(IF(B17=0,0,MIN($B$5,$B$4/B17)),$B$7*$B$8/Sorghum_Inches))</f>
        <v>120</v>
      </c>
      <c r="E17" s="251">
        <f t="shared" si="14"/>
        <v>120</v>
      </c>
      <c r="F17" s="251">
        <f t="shared" si="15"/>
        <v>0</v>
      </c>
      <c r="G17" s="205">
        <f>'Comparative Returns'!H13</f>
        <v>7.168982144150732</v>
      </c>
      <c r="H17" s="205">
        <f>'Comparative Returns'!O13</f>
        <v>0.71689821441507318</v>
      </c>
      <c r="I17" s="237">
        <f t="shared" si="16"/>
        <v>860.27785729808784</v>
      </c>
      <c r="J17" s="238">
        <f t="shared" si="0"/>
        <v>0</v>
      </c>
      <c r="K17" s="238">
        <f t="shared" si="1"/>
        <v>0</v>
      </c>
      <c r="L17" s="238">
        <f t="shared" si="2"/>
        <v>0</v>
      </c>
      <c r="M17" s="238">
        <f t="shared" si="3"/>
        <v>0</v>
      </c>
      <c r="N17" s="238">
        <f t="shared" si="4"/>
        <v>0</v>
      </c>
      <c r="O17" s="238">
        <f t="shared" si="5"/>
        <v>0</v>
      </c>
      <c r="P17" s="239">
        <f t="shared" si="6"/>
        <v>0</v>
      </c>
      <c r="Q17" s="238" t="str">
        <f t="shared" si="7"/>
        <v>-</v>
      </c>
      <c r="R17" s="238" t="str">
        <f t="shared" si="8"/>
        <v>-</v>
      </c>
      <c r="S17" s="238" t="str">
        <f t="shared" si="9"/>
        <v>-</v>
      </c>
      <c r="T17" s="238" t="str">
        <f t="shared" si="10"/>
        <v>-</v>
      </c>
      <c r="U17" s="238" t="str">
        <f t="shared" si="11"/>
        <v>-</v>
      </c>
      <c r="V17" s="238" t="str">
        <f t="shared" si="12"/>
        <v>-</v>
      </c>
      <c r="W17" s="238" t="str">
        <f t="shared" si="13"/>
        <v>-</v>
      </c>
      <c r="X17" s="96"/>
      <c r="Y17" s="96"/>
      <c r="Z17" s="130"/>
    </row>
    <row r="18" spans="1:28" x14ac:dyDescent="0.25">
      <c r="A18" s="280" t="str">
        <f>'Irr Sorghum Seed'!$A$3:$H$3</f>
        <v xml:space="preserve">Irrigated Sorghum Seed </v>
      </c>
      <c r="B18" s="311">
        <f>Sorghum_Seed_GPM</f>
        <v>3.0768003263308179</v>
      </c>
      <c r="C18" s="150" t="s">
        <v>145</v>
      </c>
      <c r="D18" s="310">
        <f>IF(Sorghum_Seed_Inches=0,0,MIN(IF(B18=0,0,MIN($B$5,$B$4/B18)),$B$7*$B$8/Sorghum_Seed_Inches))</f>
        <v>120</v>
      </c>
      <c r="E18" s="251">
        <f t="shared" si="14"/>
        <v>120</v>
      </c>
      <c r="F18" s="251">
        <f t="shared" si="15"/>
        <v>0</v>
      </c>
      <c r="G18" s="205">
        <f>'Comparative Returns'!H14</f>
        <v>383.28373725230756</v>
      </c>
      <c r="H18" s="205">
        <f>'Comparative Returns'!O14</f>
        <v>23.955233578269223</v>
      </c>
      <c r="I18" s="237">
        <f t="shared" si="16"/>
        <v>45994.04847027691</v>
      </c>
      <c r="J18" s="238">
        <f t="shared" si="0"/>
        <v>0</v>
      </c>
      <c r="K18" s="238">
        <f t="shared" si="1"/>
        <v>0</v>
      </c>
      <c r="L18" s="238">
        <f t="shared" si="2"/>
        <v>0</v>
      </c>
      <c r="M18" s="238">
        <f t="shared" si="3"/>
        <v>0</v>
      </c>
      <c r="N18" s="238">
        <f t="shared" si="4"/>
        <v>0</v>
      </c>
      <c r="O18" s="238">
        <f t="shared" si="5"/>
        <v>0</v>
      </c>
      <c r="P18" s="239">
        <f t="shared" si="6"/>
        <v>0</v>
      </c>
      <c r="Q18" s="238" t="str">
        <f t="shared" si="7"/>
        <v>-</v>
      </c>
      <c r="R18" s="238" t="str">
        <f t="shared" si="8"/>
        <v>-</v>
      </c>
      <c r="S18" s="238" t="str">
        <f t="shared" si="9"/>
        <v>-</v>
      </c>
      <c r="T18" s="238" t="str">
        <f t="shared" si="10"/>
        <v>-</v>
      </c>
      <c r="U18" s="238" t="str">
        <f t="shared" si="11"/>
        <v>-</v>
      </c>
      <c r="V18" s="238" t="str">
        <f t="shared" si="12"/>
        <v>-</v>
      </c>
      <c r="W18" s="238" t="str">
        <f t="shared" si="13"/>
        <v>-</v>
      </c>
      <c r="X18" s="96"/>
      <c r="Y18" s="96"/>
      <c r="Z18" s="130"/>
    </row>
    <row r="19" spans="1:28" x14ac:dyDescent="0.25">
      <c r="A19" s="280" t="str">
        <f>'Irr Sorghum Silage'!$A$3:$H$3</f>
        <v>Irrigated Sorghum Silage</v>
      </c>
      <c r="B19" s="311">
        <f>Sorghum_Silage_GPM</f>
        <v>3.5000031410622503</v>
      </c>
      <c r="C19" s="150" t="s">
        <v>145</v>
      </c>
      <c r="D19" s="310">
        <f>IF(Sorghum_Silage_Inches=0,0,MIN(IF(B19=0,0,MIN($B$5,$B$4/B19)),$B$7*$B$8/Sorghum_Silage_Inches))</f>
        <v>120</v>
      </c>
      <c r="E19" s="251">
        <f t="shared" si="14"/>
        <v>120</v>
      </c>
      <c r="F19" s="251">
        <f t="shared" si="15"/>
        <v>0</v>
      </c>
      <c r="G19" s="205">
        <f>'Comparative Returns'!H15</f>
        <v>156.09795838623546</v>
      </c>
      <c r="H19" s="205">
        <f>'Comparative Returns'!O15</f>
        <v>12.007535260479651</v>
      </c>
      <c r="I19" s="237">
        <f t="shared" si="16"/>
        <v>18731.755006348256</v>
      </c>
      <c r="J19" s="238">
        <f t="shared" si="0"/>
        <v>0</v>
      </c>
      <c r="K19" s="238">
        <f t="shared" si="1"/>
        <v>0</v>
      </c>
      <c r="L19" s="238">
        <f t="shared" si="2"/>
        <v>0</v>
      </c>
      <c r="M19" s="238">
        <f t="shared" si="3"/>
        <v>0</v>
      </c>
      <c r="N19" s="238">
        <f t="shared" si="4"/>
        <v>0</v>
      </c>
      <c r="O19" s="238">
        <f t="shared" si="5"/>
        <v>0</v>
      </c>
      <c r="P19" s="239">
        <f t="shared" si="6"/>
        <v>0</v>
      </c>
      <c r="Q19" s="238" t="str">
        <f t="shared" si="7"/>
        <v>-</v>
      </c>
      <c r="R19" s="238" t="str">
        <f t="shared" si="8"/>
        <v>-</v>
      </c>
      <c r="S19" s="238" t="str">
        <f t="shared" si="9"/>
        <v>-</v>
      </c>
      <c r="T19" s="238" t="str">
        <f t="shared" si="10"/>
        <v>-</v>
      </c>
      <c r="U19" s="238" t="str">
        <f t="shared" si="11"/>
        <v>-</v>
      </c>
      <c r="V19" s="238" t="str">
        <f t="shared" si="12"/>
        <v>-</v>
      </c>
      <c r="W19" s="238" t="str">
        <f t="shared" si="13"/>
        <v>-</v>
      </c>
      <c r="X19" s="96"/>
      <c r="Y19" s="96"/>
      <c r="Z19" s="130"/>
    </row>
    <row r="20" spans="1:28" x14ac:dyDescent="0.25">
      <c r="A20" s="280" t="str">
        <f>'Irr Sorghum Sudangrass'!$A$3:$H$3</f>
        <v>Irrigated Sorghum Sudangrass</v>
      </c>
      <c r="B20" s="311">
        <f>Sorghum_Sudan_GPM</f>
        <v>3.4999476180655806</v>
      </c>
      <c r="C20" s="150" t="s">
        <v>145</v>
      </c>
      <c r="D20" s="310">
        <f>IF(Sorghum_Sudan_Inches=0,0,MIN(IF(B20=0,0,MIN($B$5,$B$4/B20)),$B$7*$B$8/Sorghum_Sudan_Inches))</f>
        <v>120</v>
      </c>
      <c r="E20" s="251">
        <f t="shared" si="14"/>
        <v>120</v>
      </c>
      <c r="F20" s="251">
        <f t="shared" si="15"/>
        <v>0</v>
      </c>
      <c r="G20" s="205">
        <f>'Comparative Returns'!H16</f>
        <v>65.821996165621073</v>
      </c>
      <c r="H20" s="205">
        <f>'Comparative Returns'!O16</f>
        <v>7.3135551295134524</v>
      </c>
      <c r="I20" s="237">
        <f t="shared" si="16"/>
        <v>7898.639539874529</v>
      </c>
      <c r="J20" s="238">
        <f t="shared" si="0"/>
        <v>0</v>
      </c>
      <c r="K20" s="238">
        <f t="shared" si="1"/>
        <v>0</v>
      </c>
      <c r="L20" s="238">
        <f t="shared" si="2"/>
        <v>0</v>
      </c>
      <c r="M20" s="238">
        <f t="shared" si="3"/>
        <v>0</v>
      </c>
      <c r="N20" s="238">
        <f t="shared" si="4"/>
        <v>0</v>
      </c>
      <c r="O20" s="238">
        <f t="shared" si="5"/>
        <v>0</v>
      </c>
      <c r="P20" s="239">
        <f t="shared" si="6"/>
        <v>0</v>
      </c>
      <c r="Q20" s="238" t="str">
        <f t="shared" si="7"/>
        <v>-</v>
      </c>
      <c r="R20" s="238" t="str">
        <f t="shared" si="8"/>
        <v>-</v>
      </c>
      <c r="S20" s="238" t="str">
        <f t="shared" si="9"/>
        <v>-</v>
      </c>
      <c r="T20" s="238" t="str">
        <f t="shared" si="10"/>
        <v>-</v>
      </c>
      <c r="U20" s="238" t="str">
        <f t="shared" si="11"/>
        <v>-</v>
      </c>
      <c r="V20" s="238" t="str">
        <f t="shared" si="12"/>
        <v>-</v>
      </c>
      <c r="W20" s="238" t="str">
        <f t="shared" si="13"/>
        <v>-</v>
      </c>
      <c r="X20" s="96"/>
      <c r="Y20" s="96"/>
      <c r="Z20" s="130"/>
      <c r="AB20" s="286"/>
    </row>
    <row r="21" spans="1:28" x14ac:dyDescent="0.25">
      <c r="A21" s="280" t="str">
        <f>'Irr Soybeans'!$A$3:$H$3</f>
        <v>Irrigated Soybeans</v>
      </c>
      <c r="B21" s="311">
        <f>Soybeans_GPM</f>
        <v>3.8891744254566887</v>
      </c>
      <c r="C21" s="150" t="s">
        <v>147</v>
      </c>
      <c r="D21" s="310">
        <f>IF(Soybeans_Inches=0,0,MIN(IF(B21=0,0,MIN($B$5,$B$4/B21)),$B$7*$B$8/Soybeans_Inches))</f>
        <v>120</v>
      </c>
      <c r="E21" s="251">
        <f t="shared" si="14"/>
        <v>120</v>
      </c>
      <c r="F21" s="251">
        <f t="shared" si="15"/>
        <v>0</v>
      </c>
      <c r="G21" s="205">
        <f>'Comparative Returns'!H17</f>
        <v>136.72160952000002</v>
      </c>
      <c r="H21" s="205">
        <f>'Comparative Returns'!O17</f>
        <v>9.7658292514285723</v>
      </c>
      <c r="I21" s="237">
        <f t="shared" si="16"/>
        <v>16406.593142400001</v>
      </c>
      <c r="J21" s="238">
        <f t="shared" si="0"/>
        <v>0</v>
      </c>
      <c r="K21" s="238">
        <f t="shared" si="1"/>
        <v>0</v>
      </c>
      <c r="L21" s="238">
        <f t="shared" si="2"/>
        <v>0</v>
      </c>
      <c r="M21" s="238">
        <f t="shared" si="3"/>
        <v>0</v>
      </c>
      <c r="N21" s="238">
        <f t="shared" si="4"/>
        <v>0</v>
      </c>
      <c r="O21" s="238">
        <f t="shared" si="5"/>
        <v>0</v>
      </c>
      <c r="P21" s="239">
        <f t="shared" si="6"/>
        <v>0</v>
      </c>
      <c r="Q21" s="238" t="str">
        <f t="shared" si="7"/>
        <v>-</v>
      </c>
      <c r="R21" s="238" t="str">
        <f t="shared" si="8"/>
        <v>-</v>
      </c>
      <c r="S21" s="238" t="str">
        <f t="shared" si="9"/>
        <v>-</v>
      </c>
      <c r="T21" s="238" t="str">
        <f t="shared" si="10"/>
        <v>-</v>
      </c>
      <c r="U21" s="238" t="str">
        <f t="shared" si="11"/>
        <v>-</v>
      </c>
      <c r="V21" s="238" t="str">
        <f t="shared" si="12"/>
        <v>-</v>
      </c>
      <c r="W21" s="238" t="str">
        <f t="shared" si="13"/>
        <v>-</v>
      </c>
      <c r="X21" s="96"/>
      <c r="Y21" s="96"/>
      <c r="Z21" s="130"/>
    </row>
    <row r="22" spans="1:28" x14ac:dyDescent="0.25">
      <c r="A22" s="280" t="str">
        <f>'Irr Sunflowers-Confection'!$A$3:$H$3</f>
        <v xml:space="preserve">Irrigated Sunflowers-Confectionary </v>
      </c>
      <c r="B22" s="311">
        <f>Sunflowers_Conf_GPM</f>
        <v>1.9999784848484849</v>
      </c>
      <c r="C22" s="150" t="s">
        <v>144</v>
      </c>
      <c r="D22" s="310">
        <f>IF(Sunflowers_Conf_Inches=0,0,MIN(IF(B22=0,0,MIN($B$5,$B$4/B22)),$B$7*$B$8/Sunflowers_Conf_Inches))</f>
        <v>120</v>
      </c>
      <c r="E22" s="251">
        <f t="shared" si="14"/>
        <v>120</v>
      </c>
      <c r="F22" s="251">
        <f t="shared" si="15"/>
        <v>0</v>
      </c>
      <c r="G22" s="205">
        <f>'Comparative Returns'!H18</f>
        <v>93.126891850000106</v>
      </c>
      <c r="H22" s="205">
        <f>'Comparative Returns'!O18</f>
        <v>13.303841692857159</v>
      </c>
      <c r="I22" s="237">
        <f t="shared" si="16"/>
        <v>11175.227022000014</v>
      </c>
      <c r="J22" s="238">
        <f t="shared" si="0"/>
        <v>0</v>
      </c>
      <c r="K22" s="238">
        <f t="shared" si="1"/>
        <v>0</v>
      </c>
      <c r="L22" s="238">
        <f t="shared" si="2"/>
        <v>0</v>
      </c>
      <c r="M22" s="238">
        <f t="shared" si="3"/>
        <v>0</v>
      </c>
      <c r="N22" s="238">
        <f t="shared" si="4"/>
        <v>0</v>
      </c>
      <c r="O22" s="238">
        <f t="shared" si="5"/>
        <v>0</v>
      </c>
      <c r="P22" s="239">
        <f t="shared" si="6"/>
        <v>0</v>
      </c>
      <c r="Q22" s="238" t="str">
        <f t="shared" si="7"/>
        <v>-</v>
      </c>
      <c r="R22" s="238" t="str">
        <f t="shared" si="8"/>
        <v>-</v>
      </c>
      <c r="S22" s="238" t="str">
        <f t="shared" si="9"/>
        <v>-</v>
      </c>
      <c r="T22" s="238" t="str">
        <f t="shared" si="10"/>
        <v>-</v>
      </c>
      <c r="U22" s="238" t="str">
        <f t="shared" si="11"/>
        <v>-</v>
      </c>
      <c r="V22" s="238" t="str">
        <f t="shared" si="12"/>
        <v>-</v>
      </c>
      <c r="W22" s="238" t="str">
        <f t="shared" si="13"/>
        <v>-</v>
      </c>
      <c r="X22" s="96"/>
      <c r="Y22" s="96"/>
      <c r="Z22" s="130"/>
    </row>
    <row r="23" spans="1:28" x14ac:dyDescent="0.25">
      <c r="A23" s="280" t="str">
        <f>'Irr Sunflowers-Oilseed'!$A$3:$H$3</f>
        <v xml:space="preserve">Irrigated Sunflowers-Oilseed </v>
      </c>
      <c r="B23" s="311">
        <f>Sunflowers_Oil_GPM</f>
        <v>1.9999784848484849</v>
      </c>
      <c r="C23" s="150" t="s">
        <v>144</v>
      </c>
      <c r="D23" s="310">
        <f>IF(Sunflowers_Oil_Inches=0,0,MIN(IF(B23=0,0,MIN($B$5,$B$4/B23)),$B$7*$B$8/Sunflowers_Oil_Inches))</f>
        <v>120</v>
      </c>
      <c r="E23" s="251">
        <f t="shared" si="14"/>
        <v>120</v>
      </c>
      <c r="F23" s="251">
        <f t="shared" si="15"/>
        <v>0</v>
      </c>
      <c r="G23" s="205">
        <f>'Comparative Returns'!H19</f>
        <v>46.124463278571511</v>
      </c>
      <c r="H23" s="205">
        <f>'Comparative Returns'!O19</f>
        <v>6.5892090397959304</v>
      </c>
      <c r="I23" s="237">
        <f t="shared" si="16"/>
        <v>5534.9355934285813</v>
      </c>
      <c r="J23" s="238">
        <f t="shared" si="0"/>
        <v>0</v>
      </c>
      <c r="K23" s="238">
        <f t="shared" si="1"/>
        <v>0</v>
      </c>
      <c r="L23" s="238">
        <f t="shared" si="2"/>
        <v>0</v>
      </c>
      <c r="M23" s="238">
        <f t="shared" si="3"/>
        <v>0</v>
      </c>
      <c r="N23" s="238">
        <f t="shared" si="4"/>
        <v>0</v>
      </c>
      <c r="O23" s="238">
        <f t="shared" si="5"/>
        <v>0</v>
      </c>
      <c r="P23" s="239">
        <f t="shared" si="6"/>
        <v>0</v>
      </c>
      <c r="Q23" s="238" t="str">
        <f t="shared" si="7"/>
        <v>-</v>
      </c>
      <c r="R23" s="238" t="str">
        <f t="shared" si="8"/>
        <v>-</v>
      </c>
      <c r="S23" s="238" t="str">
        <f t="shared" si="9"/>
        <v>-</v>
      </c>
      <c r="T23" s="238" t="str">
        <f t="shared" si="10"/>
        <v>-</v>
      </c>
      <c r="U23" s="238" t="str">
        <f t="shared" si="11"/>
        <v>-</v>
      </c>
      <c r="V23" s="238" t="str">
        <f t="shared" si="12"/>
        <v>-</v>
      </c>
      <c r="W23" s="238" t="str">
        <f t="shared" si="13"/>
        <v>-</v>
      </c>
      <c r="X23" s="96"/>
      <c r="Y23" s="96"/>
      <c r="Z23" s="130"/>
    </row>
    <row r="24" spans="1:28" x14ac:dyDescent="0.25">
      <c r="A24" s="280" t="str">
        <f>'Irr Triticale Silage'!$A$3:$H$3</f>
        <v>Irrigated Triticale Silage</v>
      </c>
      <c r="B24" s="311">
        <f>Triticale_Silage_GPM</f>
        <v>2.6923101085094232</v>
      </c>
      <c r="C24" s="150" t="s">
        <v>145</v>
      </c>
      <c r="D24" s="310">
        <f>IF(Triticale_Silage_Inches=0,0,MIN(IF(B24=0,0,MIN($B$5,$B$4/B24)),$B$7*$B$8/Triticale_Silage_Inches))</f>
        <v>120</v>
      </c>
      <c r="E24" s="251">
        <f t="shared" ref="E24" si="17">IF((D24)&gt;$B$5,$B$5,IF($B$6="None",(D24),FLOOR((D24),($B$5*$B$6))))</f>
        <v>120</v>
      </c>
      <c r="F24" s="251">
        <f t="shared" ref="F24" si="18">$B$5-E24</f>
        <v>0</v>
      </c>
      <c r="G24" s="205">
        <f>'Comparative Returns'!H20</f>
        <v>2.0925640770588529</v>
      </c>
      <c r="H24" s="205">
        <f>'Comparative Returns'!O20</f>
        <v>4.315454891851625E-2</v>
      </c>
      <c r="I24" s="237">
        <f>IF(SUBTOTAL(102,$G24)=1,G24*E24,"-")</f>
        <v>251.10768924706235</v>
      </c>
      <c r="J24" s="238">
        <f t="shared" ref="J24" si="19">F24*$G$27</f>
        <v>0</v>
      </c>
      <c r="K24" s="238">
        <f t="shared" ref="K24" si="20">F24*$G$28</f>
        <v>0</v>
      </c>
      <c r="L24" s="238">
        <f t="shared" ref="L24" si="21">F24*$G$29</f>
        <v>0</v>
      </c>
      <c r="M24" s="238">
        <f t="shared" ref="M24" si="22">F24*$G$30</f>
        <v>0</v>
      </c>
      <c r="N24" s="238">
        <f t="shared" ref="N24" si="23">F24*$G$31</f>
        <v>0</v>
      </c>
      <c r="O24" s="238">
        <f t="shared" ref="O24" si="24">F24*$G$32</f>
        <v>0</v>
      </c>
      <c r="P24" s="239">
        <f t="shared" ref="P24" si="25">F24*$G$33</f>
        <v>0</v>
      </c>
      <c r="Q24" s="238" t="str">
        <f t="shared" si="7"/>
        <v>-</v>
      </c>
      <c r="R24" s="238" t="str">
        <f t="shared" si="8"/>
        <v>-</v>
      </c>
      <c r="S24" s="238" t="str">
        <f t="shared" si="9"/>
        <v>-</v>
      </c>
      <c r="T24" s="238" t="str">
        <f t="shared" si="10"/>
        <v>-</v>
      </c>
      <c r="U24" s="238" t="str">
        <f t="shared" si="11"/>
        <v>-</v>
      </c>
      <c r="V24" s="238" t="str">
        <f t="shared" si="12"/>
        <v>-</v>
      </c>
      <c r="W24" s="238" t="str">
        <f t="shared" si="13"/>
        <v>-</v>
      </c>
      <c r="X24" s="96"/>
      <c r="Y24" s="96"/>
      <c r="Z24" s="130"/>
      <c r="AB24" s="286"/>
    </row>
    <row r="25" spans="1:28" x14ac:dyDescent="0.25">
      <c r="A25" s="280" t="str">
        <f>'Irr Wheat'!$A$3:$H$3</f>
        <v>Irrigated Wheat</v>
      </c>
      <c r="B25" s="311">
        <f>Wheat_GPM</f>
        <v>2.6667996040164055</v>
      </c>
      <c r="C25" s="150" t="s">
        <v>145</v>
      </c>
      <c r="D25" s="310">
        <f>IF(Wheat_Inches=0,0,MIN(IF(B25=0,0,MIN($B$5,$B$4/B25)),$B$7*$B$8/Wheat_Inches))</f>
        <v>120</v>
      </c>
      <c r="E25" s="251">
        <f t="shared" si="14"/>
        <v>120</v>
      </c>
      <c r="F25" s="251">
        <f t="shared" si="15"/>
        <v>0</v>
      </c>
      <c r="G25" s="205">
        <f>'Comparative Returns'!H21</f>
        <v>-28.688162337666625</v>
      </c>
      <c r="H25" s="205">
        <f>'Comparative Returns'!O21</f>
        <v>-2.8688162337666627</v>
      </c>
      <c r="I25" s="237">
        <f t="shared" si="16"/>
        <v>-3442.5794805199948</v>
      </c>
      <c r="J25" s="238">
        <f>F25*$G$27</f>
        <v>0</v>
      </c>
      <c r="K25" s="238">
        <f>F25*$G$28</f>
        <v>0</v>
      </c>
      <c r="L25" s="238">
        <f>F25*$G$29</f>
        <v>0</v>
      </c>
      <c r="M25" s="238">
        <f>F25*$G$30</f>
        <v>0</v>
      </c>
      <c r="N25" s="238">
        <f>F25*$G$31</f>
        <v>0</v>
      </c>
      <c r="O25" s="238">
        <f>F25*$G$32</f>
        <v>0</v>
      </c>
      <c r="P25" s="239">
        <f>F25*$G$33</f>
        <v>0</v>
      </c>
      <c r="Q25" s="238" t="str">
        <f t="shared" si="7"/>
        <v>-</v>
      </c>
      <c r="R25" s="238" t="str">
        <f t="shared" si="8"/>
        <v>-</v>
      </c>
      <c r="S25" s="238" t="str">
        <f t="shared" si="9"/>
        <v>-</v>
      </c>
      <c r="T25" s="238" t="str">
        <f t="shared" si="10"/>
        <v>-</v>
      </c>
      <c r="U25" s="238" t="str">
        <f t="shared" si="11"/>
        <v>-</v>
      </c>
      <c r="V25" s="238" t="str">
        <f t="shared" si="12"/>
        <v>-</v>
      </c>
      <c r="W25" s="238" t="str">
        <f t="shared" si="13"/>
        <v>-</v>
      </c>
      <c r="X25" s="96"/>
      <c r="Y25" s="96"/>
      <c r="Z25" s="130"/>
    </row>
    <row r="26" spans="1:28" x14ac:dyDescent="0.25">
      <c r="A26" s="280" t="str">
        <f>'Irr Other Crop'!$A$3:$H$3</f>
        <v>Irrigated Other Crop</v>
      </c>
      <c r="B26" s="311">
        <f>Other_GPM</f>
        <v>0</v>
      </c>
      <c r="C26" s="150" t="s">
        <v>185</v>
      </c>
      <c r="D26" s="310">
        <f>IF(Other_Inches=0,0,MIN(IF(B26=0,0,MIN($B$5,$B$4/B26)),$B$7*$B$8/Other_Inches))</f>
        <v>0</v>
      </c>
      <c r="E26" s="251">
        <f t="shared" si="14"/>
        <v>0</v>
      </c>
      <c r="F26" s="251">
        <f t="shared" si="15"/>
        <v>120</v>
      </c>
      <c r="G26" s="205">
        <f>'Comparative Returns'!H22</f>
        <v>0</v>
      </c>
      <c r="H26" s="236" t="str">
        <f>'Comparative Returns'!O22</f>
        <v>-</v>
      </c>
      <c r="I26" s="237">
        <f t="shared" si="16"/>
        <v>0</v>
      </c>
      <c r="J26" s="238">
        <f>F26*$G$27</f>
        <v>422.65063921638216</v>
      </c>
      <c r="K26" s="238">
        <f>F26*$G$28</f>
        <v>3582.9057524672839</v>
      </c>
      <c r="L26" s="238">
        <f>F26*$G$29</f>
        <v>-1538.616221213008</v>
      </c>
      <c r="M26" s="238">
        <f>F26*$G$30</f>
        <v>2940.6416604599576</v>
      </c>
      <c r="N26" s="238">
        <f>F26*$G$31</f>
        <v>1540.4219737661981</v>
      </c>
      <c r="O26" s="238">
        <f>F26*$G$32</f>
        <v>-438.32530023529216</v>
      </c>
      <c r="P26" s="239">
        <f>F26*$G$33</f>
        <v>0</v>
      </c>
      <c r="Q26" s="238">
        <f t="shared" si="7"/>
        <v>422.65063921638216</v>
      </c>
      <c r="R26" s="238">
        <f t="shared" si="8"/>
        <v>3582.9057524672839</v>
      </c>
      <c r="S26" s="238">
        <f t="shared" si="9"/>
        <v>-1538.616221213008</v>
      </c>
      <c r="T26" s="238">
        <f t="shared" si="10"/>
        <v>2940.6416604599576</v>
      </c>
      <c r="U26" s="238">
        <f t="shared" si="11"/>
        <v>1540.4219737661981</v>
      </c>
      <c r="V26" s="238">
        <f t="shared" si="12"/>
        <v>-438.32530023529216</v>
      </c>
      <c r="W26" s="238" t="str">
        <f t="shared" si="13"/>
        <v>-</v>
      </c>
      <c r="X26" s="96"/>
      <c r="Y26" s="96"/>
      <c r="Z26" s="130"/>
    </row>
    <row r="27" spans="1:28" x14ac:dyDescent="0.25">
      <c r="A27" s="280" t="str">
        <f>'Dry Canola'!$A$3:$H$3</f>
        <v>Dryland Canola</v>
      </c>
      <c r="B27" s="202" t="s">
        <v>149</v>
      </c>
      <c r="C27" s="68"/>
      <c r="D27" s="68"/>
      <c r="E27" s="156" t="s">
        <v>149</v>
      </c>
      <c r="F27" s="156" t="s">
        <v>149</v>
      </c>
      <c r="G27" s="206">
        <f>'Comparative Returns'!H23</f>
        <v>3.522088660136518</v>
      </c>
      <c r="H27" s="207" t="s">
        <v>149</v>
      </c>
      <c r="I27" s="153"/>
      <c r="J27" s="17"/>
      <c r="K27" s="17"/>
      <c r="L27" s="17"/>
      <c r="M27" s="17"/>
      <c r="N27" s="17"/>
      <c r="O27" s="17"/>
      <c r="P27" s="96"/>
      <c r="Q27" s="17"/>
      <c r="R27" s="17"/>
      <c r="S27" s="17"/>
      <c r="T27" s="17"/>
      <c r="U27" s="17"/>
      <c r="V27" s="17"/>
      <c r="W27" s="96"/>
      <c r="X27" s="96"/>
      <c r="Y27" s="96"/>
      <c r="Z27" s="130"/>
    </row>
    <row r="28" spans="1:28" x14ac:dyDescent="0.25">
      <c r="A28" s="280" t="str">
        <f>'Dry Cotton'!$A$3:$H$3</f>
        <v>Dryland Cotton</v>
      </c>
      <c r="B28" s="203" t="s">
        <v>149</v>
      </c>
      <c r="C28" s="294" t="s">
        <v>183</v>
      </c>
      <c r="D28" s="294"/>
      <c r="E28" s="156" t="s">
        <v>149</v>
      </c>
      <c r="F28" s="156" t="s">
        <v>149</v>
      </c>
      <c r="G28" s="208">
        <f>'Comparative Returns'!H24</f>
        <v>29.857547937227366</v>
      </c>
      <c r="H28" s="207" t="s">
        <v>149</v>
      </c>
      <c r="I28" s="153"/>
      <c r="J28" s="17"/>
      <c r="K28" s="17"/>
      <c r="L28" s="17"/>
      <c r="M28" s="17"/>
      <c r="N28" s="17"/>
      <c r="O28" s="17"/>
      <c r="P28" s="96"/>
      <c r="Q28" s="17"/>
      <c r="R28" s="17"/>
      <c r="S28" s="17"/>
      <c r="T28" s="17"/>
      <c r="U28" s="17"/>
      <c r="V28" s="17"/>
      <c r="W28" s="96"/>
      <c r="X28" s="96"/>
      <c r="Y28" s="96"/>
      <c r="Z28" s="130"/>
    </row>
    <row r="29" spans="1:28" x14ac:dyDescent="0.25">
      <c r="A29" s="280" t="str">
        <f>'Dry Sorghum'!$A$3:$H$3</f>
        <v>Dryland Sorghum</v>
      </c>
      <c r="B29" s="203" t="s">
        <v>149</v>
      </c>
      <c r="C29" s="295" t="s">
        <v>217</v>
      </c>
      <c r="D29" s="295"/>
      <c r="E29" s="156" t="s">
        <v>149</v>
      </c>
      <c r="F29" s="156" t="s">
        <v>149</v>
      </c>
      <c r="G29" s="208">
        <f>'Comparative Returns'!H25</f>
        <v>-12.821801843441733</v>
      </c>
      <c r="H29" s="207" t="s">
        <v>149</v>
      </c>
      <c r="I29" s="153"/>
      <c r="J29" s="17"/>
      <c r="K29" s="17"/>
      <c r="L29" s="17"/>
      <c r="M29" s="17"/>
      <c r="N29" s="17"/>
      <c r="O29" s="17"/>
      <c r="P29" s="96"/>
      <c r="Q29" s="17"/>
      <c r="R29" s="17"/>
      <c r="S29" s="17"/>
      <c r="T29" s="17"/>
      <c r="U29" s="17"/>
      <c r="V29" s="17"/>
      <c r="W29" s="96"/>
      <c r="X29" s="96"/>
      <c r="Y29" s="96"/>
      <c r="Z29" s="130"/>
    </row>
    <row r="30" spans="1:28" x14ac:dyDescent="0.25">
      <c r="A30" s="280" t="str">
        <f>'Dry Sorghum Sudangrass'!$A$3:$H$3</f>
        <v>Dryland Sorghum Sudangrass</v>
      </c>
      <c r="B30" s="203" t="s">
        <v>149</v>
      </c>
      <c r="C30" s="296">
        <v>0.25</v>
      </c>
      <c r="D30" s="296"/>
      <c r="E30" s="156" t="s">
        <v>149</v>
      </c>
      <c r="F30" s="156" t="s">
        <v>149</v>
      </c>
      <c r="G30" s="208">
        <f>'Comparative Returns'!H26</f>
        <v>24.505347170499647</v>
      </c>
      <c r="H30" s="207" t="s">
        <v>149</v>
      </c>
      <c r="I30" s="153"/>
      <c r="J30" s="17"/>
      <c r="K30" s="17"/>
      <c r="L30" s="17"/>
      <c r="M30" s="17"/>
      <c r="N30" s="17"/>
      <c r="O30" s="17"/>
      <c r="P30" s="96"/>
      <c r="Q30" s="17"/>
      <c r="R30" s="17"/>
      <c r="S30" s="17"/>
      <c r="T30" s="17"/>
      <c r="U30" s="17"/>
      <c r="V30" s="17"/>
      <c r="W30" s="96"/>
      <c r="X30" s="96"/>
      <c r="Y30" s="96"/>
      <c r="Z30" s="130"/>
    </row>
    <row r="31" spans="1:28" x14ac:dyDescent="0.25">
      <c r="A31" s="280" t="str">
        <f>'Dry Sunflowers-Oilseed'!$A$3:$H$3</f>
        <v xml:space="preserve">Dryland Sunflowers-Oilseed </v>
      </c>
      <c r="B31" s="203" t="s">
        <v>149</v>
      </c>
      <c r="C31" s="296">
        <f>1/3</f>
        <v>0.33333333333333331</v>
      </c>
      <c r="D31" s="296"/>
      <c r="E31" s="156" t="s">
        <v>149</v>
      </c>
      <c r="F31" s="156" t="s">
        <v>149</v>
      </c>
      <c r="G31" s="208">
        <f>'Comparative Returns'!H27</f>
        <v>12.836849781384984</v>
      </c>
      <c r="H31" s="207" t="s">
        <v>149</v>
      </c>
      <c r="I31" s="153"/>
      <c r="J31" s="17"/>
      <c r="K31" s="17"/>
      <c r="L31" s="17"/>
      <c r="M31" s="17"/>
      <c r="N31" s="17"/>
      <c r="O31" s="17"/>
      <c r="P31" s="96"/>
      <c r="Q31" s="17"/>
      <c r="R31" s="17"/>
      <c r="S31" s="17"/>
      <c r="T31" s="17"/>
      <c r="U31" s="17"/>
      <c r="V31" s="17"/>
      <c r="W31" s="96"/>
      <c r="X31" s="96"/>
      <c r="Y31" s="96"/>
      <c r="Z31" s="130"/>
    </row>
    <row r="32" spans="1:28" x14ac:dyDescent="0.25">
      <c r="A32" s="280" t="str">
        <f>'Dry Wheat'!$A$3:$H$3</f>
        <v>Dryland Wheat</v>
      </c>
      <c r="B32" s="203" t="s">
        <v>149</v>
      </c>
      <c r="C32" s="296">
        <v>0.5</v>
      </c>
      <c r="D32" s="296"/>
      <c r="E32" s="156" t="s">
        <v>149</v>
      </c>
      <c r="F32" s="156" t="s">
        <v>149</v>
      </c>
      <c r="G32" s="208">
        <f>'Comparative Returns'!H28</f>
        <v>-3.6527108352941013</v>
      </c>
      <c r="H32" s="207" t="s">
        <v>149</v>
      </c>
      <c r="I32" s="153"/>
      <c r="J32" s="17"/>
      <c r="K32" s="17"/>
      <c r="L32" s="17"/>
      <c r="M32" s="17"/>
      <c r="N32" s="17"/>
      <c r="O32" s="17"/>
      <c r="P32" s="96"/>
      <c r="Q32" s="17"/>
      <c r="R32" s="42"/>
      <c r="S32" s="17"/>
      <c r="T32" s="17"/>
      <c r="U32" s="17"/>
      <c r="V32" s="17"/>
      <c r="W32" s="96"/>
      <c r="X32" s="96"/>
      <c r="Y32" s="96"/>
      <c r="Z32" s="130"/>
    </row>
    <row r="33" spans="1:26" x14ac:dyDescent="0.25">
      <c r="A33" s="280" t="str">
        <f>'Dry Other Crop'!$A$3:$H$3</f>
        <v>Dryland Other Crop</v>
      </c>
      <c r="B33" s="203" t="s">
        <v>149</v>
      </c>
      <c r="C33" s="68"/>
      <c r="D33" s="68"/>
      <c r="E33" s="156" t="s">
        <v>149</v>
      </c>
      <c r="F33" s="156" t="s">
        <v>149</v>
      </c>
      <c r="G33" s="208">
        <f>'Comparative Returns'!H29</f>
        <v>0</v>
      </c>
      <c r="H33" s="207" t="s">
        <v>149</v>
      </c>
      <c r="I33" s="153"/>
      <c r="J33" s="17"/>
      <c r="K33" s="17"/>
      <c r="L33" s="17"/>
      <c r="M33" s="17"/>
      <c r="N33" s="17"/>
      <c r="O33" s="17"/>
      <c r="P33" s="96"/>
      <c r="Q33" s="17"/>
      <c r="R33" s="17"/>
      <c r="S33" s="17"/>
      <c r="T33" s="17"/>
      <c r="U33" s="17"/>
      <c r="V33" s="17"/>
      <c r="W33" s="96"/>
      <c r="X33" s="96"/>
      <c r="Y33" s="96"/>
      <c r="Z33" s="130"/>
    </row>
    <row r="34" spans="1:26" x14ac:dyDescent="0.25">
      <c r="A34" s="94"/>
      <c r="B34" s="100"/>
      <c r="C34" s="100"/>
      <c r="D34" s="100"/>
      <c r="E34" s="100"/>
      <c r="F34" s="101"/>
      <c r="G34" s="97"/>
      <c r="I34" s="97"/>
      <c r="J34" s="102"/>
      <c r="K34" s="105"/>
      <c r="L34" s="102"/>
      <c r="M34" s="102"/>
      <c r="N34" s="102"/>
      <c r="O34" s="102"/>
      <c r="P34" s="96"/>
      <c r="Q34" s="240"/>
      <c r="R34" s="97"/>
      <c r="S34" s="97"/>
      <c r="T34" s="97"/>
      <c r="U34" s="97"/>
      <c r="V34" s="97"/>
      <c r="W34" s="96"/>
      <c r="X34" s="96"/>
      <c r="Y34" s="96"/>
    </row>
    <row r="35" spans="1:26" x14ac:dyDescent="0.25">
      <c r="A35" s="94"/>
      <c r="B35" s="100"/>
      <c r="C35" s="100"/>
      <c r="D35" s="100"/>
      <c r="E35" s="100"/>
      <c r="F35" s="101"/>
      <c r="G35" s="97"/>
      <c r="I35" s="97"/>
      <c r="J35" s="102"/>
      <c r="K35" s="105"/>
      <c r="L35" s="102"/>
      <c r="M35" s="102"/>
      <c r="N35" s="102"/>
      <c r="O35" s="102"/>
      <c r="P35" s="96"/>
      <c r="Q35" s="240"/>
      <c r="R35" s="97"/>
      <c r="S35" s="97"/>
      <c r="T35" s="97"/>
      <c r="U35" s="97"/>
      <c r="V35" s="97"/>
      <c r="W35" s="96"/>
      <c r="X35" s="96"/>
      <c r="Y35" s="96"/>
    </row>
    <row r="36" spans="1:26" x14ac:dyDescent="0.25">
      <c r="A36" s="94"/>
      <c r="B36" s="100"/>
      <c r="C36" s="100"/>
      <c r="D36" s="100"/>
      <c r="E36" s="100"/>
      <c r="F36" s="101"/>
      <c r="G36" s="97"/>
      <c r="I36" s="97"/>
      <c r="J36" s="102"/>
      <c r="K36" s="105"/>
      <c r="L36" s="102"/>
      <c r="M36" s="102"/>
      <c r="N36" s="102"/>
      <c r="O36" s="102"/>
      <c r="P36" s="96"/>
      <c r="Q36" s="240"/>
      <c r="R36" s="97"/>
      <c r="S36" s="97"/>
      <c r="T36" s="97"/>
      <c r="U36" s="97"/>
      <c r="V36" s="97"/>
      <c r="W36" s="96"/>
      <c r="X36" s="96"/>
      <c r="Y36" s="96"/>
    </row>
    <row r="37" spans="1:26" x14ac:dyDescent="0.25">
      <c r="A37" s="94"/>
      <c r="B37" s="100"/>
      <c r="C37" s="100"/>
      <c r="D37" s="100"/>
      <c r="E37" s="100"/>
      <c r="F37" s="101"/>
      <c r="G37" s="97"/>
      <c r="I37" s="97"/>
      <c r="J37" s="102"/>
      <c r="K37" s="105"/>
      <c r="L37" s="102"/>
      <c r="M37" s="102"/>
      <c r="N37" s="102"/>
      <c r="O37" s="102"/>
      <c r="P37" s="96"/>
      <c r="Q37" s="240"/>
      <c r="R37" s="97"/>
      <c r="S37" s="97"/>
      <c r="T37" s="97"/>
      <c r="U37" s="97"/>
      <c r="V37" s="97"/>
      <c r="W37" s="96"/>
      <c r="X37" s="96"/>
      <c r="Y37" s="96"/>
    </row>
    <row r="38" spans="1:26" x14ac:dyDescent="0.25">
      <c r="A38" s="94"/>
      <c r="B38" s="100"/>
      <c r="C38" s="100"/>
      <c r="D38" s="100"/>
      <c r="E38" s="100"/>
      <c r="F38" s="101"/>
      <c r="G38" s="97"/>
      <c r="I38" s="97"/>
      <c r="J38" s="102"/>
      <c r="K38" s="105"/>
      <c r="L38" s="102"/>
      <c r="M38" s="102"/>
      <c r="N38" s="102"/>
      <c r="O38" s="102"/>
      <c r="P38" s="96"/>
      <c r="Q38" s="240"/>
      <c r="R38" s="97"/>
      <c r="S38" s="97"/>
      <c r="T38" s="97"/>
      <c r="U38" s="97"/>
      <c r="V38" s="97"/>
      <c r="W38" s="96"/>
      <c r="X38" s="96"/>
      <c r="Y38" s="96"/>
    </row>
    <row r="39" spans="1:26" x14ac:dyDescent="0.25">
      <c r="A39" s="94"/>
      <c r="B39" s="100"/>
      <c r="C39" s="100"/>
      <c r="D39" s="100"/>
      <c r="E39" s="100"/>
      <c r="F39" s="101"/>
      <c r="G39" s="97"/>
      <c r="I39" s="97"/>
      <c r="J39" s="102"/>
      <c r="K39" s="105"/>
      <c r="L39" s="102"/>
      <c r="M39" s="102"/>
      <c r="N39" s="102"/>
      <c r="O39" s="102"/>
      <c r="P39" s="96"/>
      <c r="Q39" s="240"/>
      <c r="R39" s="97"/>
      <c r="S39" s="97"/>
      <c r="T39" s="97"/>
      <c r="U39" s="97"/>
      <c r="V39" s="97"/>
      <c r="W39" s="96"/>
      <c r="X39" s="96"/>
      <c r="Y39" s="96"/>
    </row>
    <row r="40" spans="1:26" x14ac:dyDescent="0.25">
      <c r="A40" s="94"/>
      <c r="B40" s="100"/>
      <c r="C40" s="100"/>
      <c r="D40" s="100"/>
      <c r="E40" s="100"/>
      <c r="F40" s="101"/>
      <c r="G40" s="97"/>
      <c r="I40" s="97"/>
      <c r="J40" s="102"/>
      <c r="K40" s="105"/>
      <c r="L40" s="102"/>
      <c r="M40" s="102"/>
      <c r="N40" s="102"/>
      <c r="O40" s="102"/>
      <c r="P40" s="96"/>
      <c r="Q40" s="240"/>
      <c r="R40" s="97"/>
      <c r="S40" s="97"/>
      <c r="T40" s="97"/>
      <c r="U40" s="97"/>
      <c r="V40" s="97"/>
      <c r="W40" s="96"/>
      <c r="X40" s="96"/>
      <c r="Y40" s="96"/>
    </row>
    <row r="41" spans="1:26" x14ac:dyDescent="0.25">
      <c r="A41" s="94"/>
      <c r="B41" s="100"/>
      <c r="C41" s="100"/>
      <c r="D41" s="100"/>
      <c r="E41" s="100"/>
      <c r="F41" s="101"/>
      <c r="G41" s="97"/>
      <c r="I41" s="97"/>
      <c r="J41" s="102"/>
      <c r="K41" s="105"/>
      <c r="L41" s="102"/>
      <c r="M41" s="102"/>
      <c r="N41" s="102"/>
      <c r="O41" s="102"/>
      <c r="P41" s="96"/>
      <c r="Q41" s="240"/>
      <c r="R41" s="97"/>
      <c r="S41" s="97"/>
      <c r="T41" s="97"/>
      <c r="U41" s="97"/>
      <c r="V41" s="97"/>
      <c r="W41" s="96"/>
      <c r="X41" s="96"/>
      <c r="Y41" s="96"/>
    </row>
    <row r="42" spans="1:26" ht="12" customHeight="1" x14ac:dyDescent="0.25">
      <c r="A42" s="94"/>
      <c r="B42" s="100"/>
      <c r="C42" s="100"/>
      <c r="D42" s="100"/>
      <c r="E42" s="100"/>
      <c r="F42" s="101"/>
      <c r="G42" s="97"/>
      <c r="I42" s="97"/>
      <c r="J42" s="102"/>
      <c r="K42" s="105"/>
      <c r="L42" s="102"/>
      <c r="M42" s="102"/>
      <c r="N42" s="102"/>
      <c r="O42" s="102"/>
      <c r="P42" s="96"/>
      <c r="Q42" s="240"/>
      <c r="R42" s="97"/>
      <c r="S42" s="97"/>
      <c r="T42" s="97"/>
      <c r="U42" s="97"/>
      <c r="V42" s="97"/>
      <c r="W42" s="96"/>
      <c r="X42" s="96"/>
      <c r="Y42" s="96"/>
    </row>
    <row r="43" spans="1:26" x14ac:dyDescent="0.25">
      <c r="A43" s="94"/>
      <c r="B43" s="100"/>
      <c r="C43" s="100"/>
      <c r="D43" s="100"/>
      <c r="E43" s="100"/>
      <c r="F43" s="101"/>
      <c r="G43" s="97"/>
      <c r="I43" s="97"/>
      <c r="J43" s="102"/>
      <c r="K43" s="105"/>
      <c r="L43" s="102"/>
      <c r="M43" s="102"/>
      <c r="N43" s="102"/>
      <c r="O43" s="102"/>
      <c r="P43" s="96"/>
      <c r="Q43" s="240"/>
      <c r="R43" s="97"/>
      <c r="S43" s="97"/>
      <c r="T43" s="97"/>
      <c r="U43" s="97"/>
      <c r="V43" s="97"/>
      <c r="W43" s="96"/>
      <c r="X43" s="96"/>
      <c r="Y43" s="96"/>
    </row>
    <row r="44" spans="1:26" x14ac:dyDescent="0.25">
      <c r="A44" s="94"/>
      <c r="B44" s="100"/>
      <c r="C44" s="100"/>
      <c r="D44" s="100"/>
      <c r="E44" s="100"/>
      <c r="F44" s="101"/>
      <c r="G44" s="97"/>
      <c r="I44" s="97"/>
      <c r="J44" s="102"/>
      <c r="K44" s="105"/>
      <c r="L44" s="102"/>
      <c r="M44" s="102"/>
      <c r="N44" s="102"/>
      <c r="O44" s="102"/>
      <c r="P44" s="96"/>
      <c r="Q44" s="240"/>
      <c r="R44" s="97"/>
      <c r="S44" s="97"/>
      <c r="T44" s="97"/>
      <c r="U44" s="97"/>
      <c r="V44" s="97"/>
      <c r="W44" s="96"/>
      <c r="X44" s="96"/>
      <c r="Y44" s="96"/>
    </row>
    <row r="45" spans="1:26" x14ac:dyDescent="0.25">
      <c r="A45" s="94"/>
      <c r="B45" s="100"/>
      <c r="C45" s="100"/>
      <c r="D45" s="100"/>
      <c r="E45" s="100"/>
      <c r="F45" s="101"/>
      <c r="G45" s="97"/>
      <c r="I45" s="97"/>
      <c r="J45" s="102"/>
      <c r="K45" s="105"/>
      <c r="L45" s="102"/>
      <c r="M45" s="102"/>
      <c r="N45" s="102"/>
      <c r="O45" s="102"/>
      <c r="P45" s="96"/>
      <c r="Q45" s="240"/>
      <c r="R45" s="97"/>
      <c r="S45" s="97"/>
      <c r="T45" s="97"/>
      <c r="U45" s="97"/>
      <c r="V45" s="97"/>
      <c r="W45" s="96"/>
      <c r="X45" s="96"/>
      <c r="Y45" s="96"/>
    </row>
    <row r="46" spans="1:26" x14ac:dyDescent="0.25">
      <c r="A46" s="94"/>
      <c r="B46" s="100"/>
      <c r="C46" s="100"/>
      <c r="D46" s="100"/>
      <c r="E46" s="100"/>
      <c r="F46" s="101"/>
      <c r="G46" s="97"/>
      <c r="I46" s="97"/>
      <c r="J46" s="102"/>
      <c r="K46" s="105"/>
      <c r="L46" s="102"/>
      <c r="M46" s="102"/>
      <c r="N46" s="102"/>
      <c r="O46" s="102"/>
      <c r="P46" s="96"/>
      <c r="Q46" s="240"/>
      <c r="R46" s="97"/>
      <c r="S46" s="97"/>
      <c r="T46" s="97"/>
      <c r="U46" s="97"/>
      <c r="V46" s="97"/>
      <c r="W46" s="96"/>
      <c r="X46" s="96"/>
      <c r="Y46" s="96"/>
    </row>
    <row r="47" spans="1:26" x14ac:dyDescent="0.25">
      <c r="A47" s="94"/>
      <c r="B47" s="100"/>
      <c r="C47" s="100"/>
      <c r="D47" s="100"/>
      <c r="E47" s="100"/>
      <c r="F47" s="101"/>
      <c r="G47" s="97"/>
      <c r="I47" s="97"/>
      <c r="J47" s="102"/>
      <c r="K47" s="105"/>
      <c r="L47" s="102"/>
      <c r="M47" s="102"/>
      <c r="N47" s="102"/>
      <c r="O47" s="102"/>
      <c r="P47" s="96"/>
      <c r="Q47" s="240"/>
      <c r="R47" s="97"/>
      <c r="S47" s="97"/>
      <c r="T47" s="97"/>
      <c r="U47" s="97"/>
      <c r="V47" s="97"/>
      <c r="W47" s="96"/>
      <c r="X47" s="96"/>
      <c r="Y47" s="96"/>
    </row>
    <row r="48" spans="1:26" x14ac:dyDescent="0.25">
      <c r="A48" s="94"/>
      <c r="B48" s="100"/>
      <c r="C48" s="100"/>
      <c r="D48" s="100"/>
      <c r="E48" s="100"/>
      <c r="F48" s="101"/>
      <c r="G48" s="97"/>
      <c r="I48" s="97"/>
      <c r="J48" s="102"/>
      <c r="K48" s="105"/>
      <c r="L48" s="102"/>
      <c r="M48" s="102"/>
      <c r="N48" s="102"/>
      <c r="O48" s="102"/>
      <c r="P48" s="96"/>
      <c r="Q48" s="97"/>
      <c r="R48" s="97"/>
      <c r="S48" s="97"/>
      <c r="T48" s="97"/>
      <c r="U48" s="97"/>
      <c r="V48" s="97"/>
      <c r="W48" s="96"/>
      <c r="X48" s="96"/>
      <c r="Y48" s="96"/>
    </row>
    <row r="49" spans="1:25" x14ac:dyDescent="0.25">
      <c r="A49" s="94"/>
      <c r="B49" s="100"/>
      <c r="C49" s="100"/>
      <c r="D49" s="100"/>
      <c r="E49" s="100"/>
      <c r="F49" s="101"/>
      <c r="G49" s="97"/>
      <c r="I49" s="97"/>
      <c r="J49" s="102"/>
      <c r="K49" s="105"/>
      <c r="L49" s="102"/>
      <c r="M49" s="102"/>
      <c r="N49" s="102"/>
      <c r="O49" s="102"/>
      <c r="P49" s="96"/>
      <c r="Q49" s="97"/>
      <c r="R49" s="97"/>
      <c r="S49" s="97"/>
      <c r="T49" s="97"/>
      <c r="U49" s="97"/>
      <c r="V49" s="97"/>
      <c r="W49" s="96"/>
      <c r="X49" s="96"/>
      <c r="Y49" s="96"/>
    </row>
    <row r="50" spans="1:25" x14ac:dyDescent="0.25">
      <c r="A50" s="94"/>
      <c r="B50" s="100"/>
      <c r="C50" s="100"/>
      <c r="D50" s="100"/>
      <c r="E50" s="100"/>
      <c r="F50" s="101"/>
      <c r="G50" s="97"/>
      <c r="I50" s="97"/>
      <c r="J50" s="102"/>
      <c r="K50" s="105"/>
      <c r="L50" s="102"/>
      <c r="M50" s="102"/>
      <c r="N50" s="102"/>
      <c r="O50" s="102"/>
      <c r="P50" s="96"/>
      <c r="Q50" s="97"/>
      <c r="R50" s="97"/>
      <c r="S50" s="97"/>
      <c r="T50" s="97"/>
      <c r="U50" s="97"/>
      <c r="V50" s="97"/>
      <c r="W50" s="96"/>
      <c r="X50" s="96"/>
      <c r="Y50" s="96"/>
    </row>
    <row r="51" spans="1:25" x14ac:dyDescent="0.25">
      <c r="A51" s="94"/>
      <c r="B51" s="100"/>
      <c r="C51" s="100"/>
      <c r="D51" s="100"/>
      <c r="E51" s="100"/>
      <c r="F51" s="101"/>
      <c r="G51" s="97"/>
      <c r="I51" s="97"/>
      <c r="J51" s="102"/>
      <c r="K51" s="105"/>
      <c r="L51" s="102"/>
      <c r="M51" s="102"/>
      <c r="N51" s="102"/>
      <c r="O51" s="102"/>
      <c r="P51" s="96"/>
      <c r="Q51" s="97"/>
      <c r="R51" s="97"/>
      <c r="S51" s="97"/>
      <c r="T51" s="97"/>
      <c r="U51" s="97"/>
      <c r="V51" s="97"/>
      <c r="W51" s="96"/>
      <c r="X51" s="96"/>
      <c r="Y51" s="96"/>
    </row>
    <row r="52" spans="1:25" x14ac:dyDescent="0.25">
      <c r="A52" s="94"/>
      <c r="B52" s="100"/>
      <c r="C52" s="100"/>
      <c r="D52" s="100"/>
      <c r="E52" s="100"/>
      <c r="F52" s="101"/>
      <c r="G52" s="97"/>
      <c r="I52" s="97"/>
      <c r="J52" s="102"/>
      <c r="K52" s="105"/>
      <c r="L52" s="102"/>
      <c r="M52" s="102"/>
      <c r="N52" s="102"/>
      <c r="O52" s="102"/>
      <c r="P52" s="96"/>
      <c r="Q52" s="97"/>
      <c r="R52" s="97"/>
      <c r="S52" s="97"/>
      <c r="T52" s="97"/>
      <c r="U52" s="97"/>
      <c r="V52" s="97"/>
      <c r="W52" s="96"/>
      <c r="X52" s="96"/>
      <c r="Y52" s="96"/>
    </row>
    <row r="53" spans="1:25" x14ac:dyDescent="0.25">
      <c r="A53" s="94"/>
      <c r="B53" s="100"/>
      <c r="C53" s="100"/>
      <c r="D53" s="100"/>
      <c r="E53" s="100"/>
      <c r="F53" s="101"/>
      <c r="G53" s="97"/>
      <c r="I53" s="97"/>
      <c r="J53" s="102"/>
      <c r="K53" s="105"/>
      <c r="L53" s="102"/>
      <c r="M53" s="102"/>
      <c r="N53" s="102"/>
      <c r="O53" s="102"/>
      <c r="P53" s="96"/>
      <c r="Q53" s="97"/>
      <c r="R53" s="97"/>
      <c r="S53" s="97"/>
      <c r="T53" s="97"/>
      <c r="U53" s="97"/>
      <c r="V53" s="97"/>
      <c r="W53" s="96"/>
      <c r="X53" s="96"/>
      <c r="Y53" s="96"/>
    </row>
    <row r="54" spans="1:25" x14ac:dyDescent="0.25">
      <c r="A54" s="94"/>
      <c r="B54" s="100"/>
      <c r="C54" s="100"/>
      <c r="D54" s="100"/>
      <c r="E54" s="100"/>
      <c r="F54" s="101"/>
      <c r="G54" s="97"/>
      <c r="I54" s="97"/>
      <c r="J54" s="102"/>
      <c r="K54" s="105"/>
      <c r="L54" s="102"/>
      <c r="M54" s="102"/>
      <c r="N54" s="102"/>
      <c r="O54" s="102"/>
      <c r="P54" s="96"/>
      <c r="Q54" s="97"/>
      <c r="R54" s="97"/>
      <c r="S54" s="97"/>
      <c r="T54" s="97"/>
      <c r="U54" s="97"/>
      <c r="V54" s="97"/>
      <c r="W54" s="96"/>
      <c r="X54" s="96"/>
      <c r="Y54" s="96"/>
    </row>
    <row r="55" spans="1:25" x14ac:dyDescent="0.25">
      <c r="A55" s="94"/>
      <c r="B55" s="100"/>
      <c r="C55" s="100"/>
      <c r="D55" s="100"/>
      <c r="E55" s="100"/>
      <c r="F55" s="101"/>
      <c r="G55" s="97"/>
      <c r="I55" s="97"/>
      <c r="J55" s="102"/>
      <c r="K55" s="105"/>
      <c r="L55" s="102"/>
      <c r="M55" s="102"/>
      <c r="N55" s="102"/>
      <c r="O55" s="102"/>
      <c r="P55" s="96"/>
      <c r="Q55" s="97"/>
      <c r="R55" s="97"/>
      <c r="S55" s="97"/>
      <c r="T55" s="97"/>
      <c r="U55" s="97"/>
      <c r="V55" s="97"/>
      <c r="W55" s="96"/>
      <c r="X55" s="96"/>
      <c r="Y55" s="96"/>
    </row>
    <row r="56" spans="1:25" x14ac:dyDescent="0.25">
      <c r="A56" s="94"/>
      <c r="B56" s="100"/>
      <c r="C56" s="100"/>
      <c r="D56" s="100"/>
      <c r="E56" s="100"/>
      <c r="F56" s="101"/>
      <c r="G56" s="97"/>
      <c r="I56" s="97"/>
      <c r="J56" s="102"/>
      <c r="K56" s="105"/>
      <c r="L56" s="102"/>
      <c r="M56" s="102"/>
      <c r="N56" s="102"/>
      <c r="O56" s="102"/>
      <c r="P56" s="96"/>
      <c r="Q56" s="97"/>
      <c r="R56" s="97"/>
      <c r="S56" s="97"/>
      <c r="T56" s="97"/>
      <c r="U56" s="97"/>
      <c r="V56" s="97"/>
      <c r="W56" s="96"/>
      <c r="X56" s="96"/>
      <c r="Y56" s="96"/>
    </row>
    <row r="57" spans="1:25" x14ac:dyDescent="0.25">
      <c r="A57" s="94"/>
      <c r="B57" s="100"/>
      <c r="C57" s="100"/>
      <c r="D57" s="100"/>
      <c r="E57" s="100"/>
      <c r="F57" s="101"/>
      <c r="G57" s="97"/>
      <c r="I57" s="97"/>
      <c r="J57" s="102"/>
      <c r="K57" s="105"/>
      <c r="L57" s="102"/>
      <c r="M57" s="102"/>
      <c r="N57" s="102"/>
      <c r="O57" s="102"/>
      <c r="P57" s="96"/>
      <c r="Q57" s="97"/>
      <c r="R57" s="97"/>
      <c r="S57" s="97"/>
      <c r="T57" s="97"/>
      <c r="U57" s="97"/>
      <c r="V57" s="97"/>
      <c r="W57" s="96"/>
      <c r="X57" s="96"/>
      <c r="Y57" s="96"/>
    </row>
    <row r="58" spans="1:25" x14ac:dyDescent="0.25">
      <c r="A58" s="94"/>
      <c r="B58" s="100"/>
      <c r="C58" s="100"/>
      <c r="D58" s="100"/>
      <c r="E58" s="100"/>
      <c r="F58" s="101"/>
      <c r="G58" s="97"/>
      <c r="I58" s="97"/>
      <c r="J58" s="102"/>
      <c r="K58" s="105"/>
      <c r="L58" s="102"/>
      <c r="M58" s="102"/>
      <c r="N58" s="102"/>
      <c r="O58" s="102"/>
      <c r="P58" s="96"/>
      <c r="Q58" s="97"/>
      <c r="R58" s="97"/>
      <c r="S58" s="97"/>
      <c r="T58" s="97"/>
      <c r="U58" s="97"/>
      <c r="V58" s="97"/>
      <c r="W58" s="96"/>
      <c r="X58" s="96"/>
      <c r="Y58" s="96"/>
    </row>
    <row r="59" spans="1:25" x14ac:dyDescent="0.25">
      <c r="A59" s="94"/>
      <c r="B59" s="100"/>
      <c r="C59" s="100"/>
      <c r="D59" s="100"/>
      <c r="E59" s="100"/>
      <c r="F59" s="101"/>
      <c r="G59" s="97"/>
      <c r="I59" s="97"/>
      <c r="J59" s="102"/>
      <c r="K59" s="105"/>
      <c r="L59" s="102"/>
      <c r="M59" s="102"/>
      <c r="N59" s="102"/>
      <c r="O59" s="102"/>
      <c r="P59" s="96"/>
      <c r="Q59" s="97"/>
      <c r="R59" s="97"/>
      <c r="S59" s="97"/>
      <c r="T59" s="97"/>
      <c r="U59" s="97"/>
      <c r="V59" s="97"/>
      <c r="W59" s="96"/>
      <c r="X59" s="96"/>
      <c r="Y59" s="96"/>
    </row>
    <row r="60" spans="1:25" x14ac:dyDescent="0.25">
      <c r="A60" s="94"/>
      <c r="B60" s="100"/>
      <c r="C60" s="100"/>
      <c r="D60" s="100"/>
      <c r="E60" s="100"/>
      <c r="F60" s="101"/>
      <c r="G60" s="97"/>
      <c r="I60" s="97"/>
      <c r="J60" s="102"/>
      <c r="K60" s="105"/>
      <c r="L60" s="102"/>
      <c r="M60" s="102"/>
      <c r="N60" s="102"/>
      <c r="O60" s="102"/>
      <c r="P60" s="96"/>
      <c r="Q60" s="97"/>
      <c r="R60" s="97"/>
      <c r="S60" s="97"/>
      <c r="T60" s="97"/>
      <c r="U60" s="97"/>
      <c r="V60" s="97"/>
      <c r="W60" s="96"/>
      <c r="X60" s="96"/>
      <c r="Y60" s="96"/>
    </row>
    <row r="61" spans="1:25" x14ac:dyDescent="0.25">
      <c r="A61" s="94"/>
      <c r="B61" s="100"/>
      <c r="C61" s="100"/>
      <c r="D61" s="100"/>
      <c r="E61" s="100"/>
      <c r="F61" s="101"/>
      <c r="G61" s="97"/>
      <c r="I61" s="97"/>
      <c r="J61" s="102"/>
      <c r="K61" s="105"/>
      <c r="L61" s="102"/>
      <c r="M61" s="102"/>
      <c r="N61" s="102"/>
      <c r="O61" s="102"/>
      <c r="P61" s="96"/>
      <c r="Q61" s="97"/>
      <c r="R61" s="97"/>
      <c r="S61" s="97"/>
      <c r="T61" s="97"/>
      <c r="U61" s="97"/>
      <c r="V61" s="97"/>
      <c r="W61" s="96"/>
      <c r="X61" s="96"/>
      <c r="Y61" s="96"/>
    </row>
    <row r="62" spans="1:25" x14ac:dyDescent="0.25">
      <c r="A62" s="94"/>
      <c r="B62" s="100"/>
      <c r="C62" s="100"/>
      <c r="D62" s="100"/>
      <c r="E62" s="100"/>
      <c r="F62" s="101"/>
      <c r="G62" s="97"/>
      <c r="I62" s="97"/>
      <c r="J62" s="102"/>
      <c r="K62" s="105"/>
      <c r="L62" s="102"/>
      <c r="M62" s="102"/>
      <c r="N62" s="102"/>
      <c r="O62" s="102"/>
      <c r="P62" s="96"/>
      <c r="Q62" s="97"/>
      <c r="R62" s="97"/>
      <c r="S62" s="97"/>
      <c r="T62" s="97"/>
      <c r="U62" s="97"/>
      <c r="V62" s="97"/>
      <c r="W62" s="96"/>
      <c r="X62" s="96"/>
      <c r="Y62" s="96"/>
    </row>
    <row r="63" spans="1:25" x14ac:dyDescent="0.25">
      <c r="A63" s="94"/>
      <c r="B63" s="100"/>
      <c r="C63" s="100"/>
      <c r="D63" s="100"/>
      <c r="E63" s="100"/>
      <c r="F63" s="101"/>
      <c r="G63" s="97"/>
      <c r="I63" s="97"/>
      <c r="J63" s="102"/>
      <c r="K63" s="105"/>
      <c r="L63" s="102"/>
      <c r="M63" s="102"/>
      <c r="N63" s="102"/>
      <c r="O63" s="102"/>
      <c r="P63" s="96"/>
      <c r="Q63" s="97"/>
      <c r="R63" s="97"/>
      <c r="S63" s="97"/>
      <c r="T63" s="97"/>
      <c r="U63" s="97"/>
      <c r="V63" s="97"/>
      <c r="W63" s="96"/>
      <c r="X63" s="96"/>
      <c r="Y63" s="96"/>
    </row>
    <row r="64" spans="1:25" x14ac:dyDescent="0.25">
      <c r="A64" s="94"/>
      <c r="B64" s="100"/>
      <c r="C64" s="100"/>
      <c r="D64" s="100"/>
      <c r="E64" s="100"/>
      <c r="F64" s="101"/>
      <c r="G64" s="97"/>
      <c r="I64" s="97"/>
      <c r="J64" s="102"/>
      <c r="K64" s="105"/>
      <c r="L64" s="102"/>
      <c r="M64" s="102"/>
      <c r="N64" s="102"/>
      <c r="O64" s="102"/>
      <c r="P64" s="96"/>
      <c r="Q64" s="97"/>
      <c r="R64" s="97"/>
      <c r="S64" s="97"/>
      <c r="T64" s="97"/>
      <c r="U64" s="97"/>
      <c r="V64" s="97"/>
      <c r="W64" s="96"/>
      <c r="X64" s="96"/>
      <c r="Y64" s="96"/>
    </row>
    <row r="65" spans="1:25" x14ac:dyDescent="0.25">
      <c r="A65" s="94"/>
      <c r="B65" s="100"/>
      <c r="C65" s="100"/>
      <c r="D65" s="100"/>
      <c r="E65" s="100"/>
      <c r="F65" s="101"/>
      <c r="G65" s="97"/>
      <c r="I65" s="97"/>
      <c r="J65" s="102"/>
      <c r="K65" s="105"/>
      <c r="L65" s="102"/>
      <c r="M65" s="102"/>
      <c r="N65" s="102"/>
      <c r="O65" s="102"/>
      <c r="P65" s="96"/>
      <c r="Q65" s="97"/>
      <c r="R65" s="97"/>
      <c r="S65" s="97"/>
      <c r="T65" s="97"/>
      <c r="U65" s="97"/>
      <c r="V65" s="97"/>
      <c r="W65" s="96"/>
      <c r="X65" s="96"/>
      <c r="Y65" s="96"/>
    </row>
    <row r="66" spans="1:25" x14ac:dyDescent="0.25">
      <c r="C66" s="96"/>
      <c r="D66" s="96"/>
      <c r="E66" s="96"/>
      <c r="K66" s="106"/>
      <c r="P66" s="96"/>
      <c r="W66" s="96"/>
      <c r="X66" s="96"/>
      <c r="Y66" s="96"/>
    </row>
    <row r="67" spans="1:25" x14ac:dyDescent="0.25">
      <c r="C67" s="96"/>
      <c r="D67" s="96"/>
      <c r="E67" s="96"/>
      <c r="K67" s="106"/>
      <c r="P67" s="96"/>
      <c r="W67" s="96"/>
      <c r="X67" s="96"/>
      <c r="Y67" s="96"/>
    </row>
    <row r="68" spans="1:25" x14ac:dyDescent="0.25">
      <c r="C68" s="96"/>
      <c r="D68" s="96"/>
      <c r="E68" s="96"/>
      <c r="K68" s="106"/>
      <c r="P68" s="96"/>
      <c r="W68" s="96"/>
      <c r="X68" s="96"/>
      <c r="Y68" s="96"/>
    </row>
    <row r="69" spans="1:25" x14ac:dyDescent="0.25">
      <c r="C69" s="96"/>
      <c r="D69" s="96"/>
      <c r="E69" s="96"/>
      <c r="K69" s="106"/>
      <c r="P69" s="96"/>
      <c r="W69" s="96"/>
      <c r="X69" s="96"/>
      <c r="Y69" s="96"/>
    </row>
    <row r="70" spans="1:25" x14ac:dyDescent="0.25">
      <c r="C70" s="96"/>
      <c r="D70" s="96"/>
      <c r="E70" s="96"/>
      <c r="K70" s="106"/>
      <c r="P70" s="96"/>
      <c r="W70" s="96"/>
      <c r="X70" s="96"/>
      <c r="Y70" s="96"/>
    </row>
    <row r="71" spans="1:25" x14ac:dyDescent="0.25">
      <c r="C71" s="96"/>
      <c r="D71" s="96"/>
      <c r="E71" s="96"/>
      <c r="K71" s="106"/>
      <c r="P71" s="96"/>
      <c r="W71" s="96"/>
      <c r="X71" s="96"/>
      <c r="Y71" s="96"/>
    </row>
    <row r="72" spans="1:25" x14ac:dyDescent="0.25">
      <c r="C72" s="96"/>
      <c r="D72" s="96"/>
      <c r="E72" s="96"/>
      <c r="K72" s="106"/>
      <c r="P72" s="96"/>
      <c r="W72" s="96"/>
      <c r="X72" s="96"/>
      <c r="Y72" s="96"/>
    </row>
    <row r="73" spans="1:25" x14ac:dyDescent="0.25">
      <c r="C73" s="96"/>
      <c r="D73" s="96"/>
      <c r="E73" s="96"/>
      <c r="K73" s="106"/>
      <c r="P73" s="96"/>
      <c r="W73" s="96"/>
      <c r="X73" s="96"/>
      <c r="Y73" s="96"/>
    </row>
    <row r="74" spans="1:25" x14ac:dyDescent="0.25">
      <c r="C74" s="96"/>
      <c r="D74" s="96"/>
      <c r="E74" s="96"/>
      <c r="K74" s="106"/>
      <c r="P74" s="96"/>
      <c r="W74" s="96"/>
      <c r="X74" s="96"/>
      <c r="Y74" s="96"/>
    </row>
    <row r="75" spans="1:25" x14ac:dyDescent="0.25">
      <c r="C75" s="96"/>
      <c r="D75" s="96"/>
      <c r="E75" s="96"/>
      <c r="K75" s="106"/>
      <c r="P75" s="96"/>
      <c r="W75" s="96"/>
      <c r="X75" s="96"/>
      <c r="Y75" s="96"/>
    </row>
    <row r="76" spans="1:25" x14ac:dyDescent="0.25">
      <c r="C76" s="96"/>
      <c r="D76" s="96"/>
      <c r="E76" s="96"/>
      <c r="K76" s="106"/>
      <c r="P76" s="96"/>
      <c r="W76" s="96"/>
      <c r="X76" s="96"/>
      <c r="Y76" s="96"/>
    </row>
    <row r="77" spans="1:25" x14ac:dyDescent="0.25">
      <c r="C77" s="96"/>
      <c r="D77" s="96"/>
      <c r="E77" s="96"/>
      <c r="K77" s="106"/>
      <c r="P77" s="96"/>
      <c r="W77" s="96"/>
      <c r="X77" s="96"/>
      <c r="Y77" s="96"/>
    </row>
    <row r="78" spans="1:25" x14ac:dyDescent="0.25">
      <c r="C78" s="96"/>
      <c r="D78" s="96"/>
      <c r="E78" s="96"/>
      <c r="K78" s="106"/>
      <c r="P78" s="96"/>
      <c r="W78" s="96"/>
      <c r="X78" s="96"/>
      <c r="Y78" s="96"/>
    </row>
    <row r="79" spans="1:25" x14ac:dyDescent="0.25">
      <c r="C79" s="96"/>
      <c r="D79" s="96"/>
      <c r="E79" s="96"/>
      <c r="K79" s="106"/>
      <c r="P79" s="96"/>
      <c r="W79" s="96"/>
      <c r="X79" s="96"/>
      <c r="Y79" s="96"/>
    </row>
    <row r="80" spans="1:25" x14ac:dyDescent="0.25">
      <c r="C80" s="96"/>
      <c r="D80" s="96"/>
      <c r="E80" s="96"/>
      <c r="K80" s="106"/>
      <c r="P80" s="96"/>
      <c r="W80" s="96"/>
      <c r="X80" s="96"/>
      <c r="Y80" s="96"/>
    </row>
    <row r="81" spans="3:25" x14ac:dyDescent="0.25">
      <c r="C81" s="96"/>
      <c r="D81" s="96"/>
      <c r="E81" s="96"/>
      <c r="K81" s="106"/>
      <c r="P81" s="96"/>
      <c r="W81" s="96"/>
      <c r="X81" s="96"/>
      <c r="Y81" s="96"/>
    </row>
    <row r="82" spans="3:25" x14ac:dyDescent="0.25">
      <c r="C82" s="96"/>
      <c r="D82" s="96"/>
      <c r="E82" s="96"/>
      <c r="K82" s="106"/>
      <c r="P82" s="96"/>
      <c r="W82" s="96"/>
      <c r="X82" s="96"/>
      <c r="Y82" s="96"/>
    </row>
    <row r="83" spans="3:25" x14ac:dyDescent="0.25">
      <c r="C83" s="96"/>
      <c r="D83" s="96"/>
      <c r="E83" s="96"/>
      <c r="K83" s="106"/>
      <c r="P83" s="96"/>
      <c r="W83" s="96"/>
      <c r="X83" s="96"/>
      <c r="Y83" s="96"/>
    </row>
    <row r="84" spans="3:25" x14ac:dyDescent="0.25">
      <c r="C84" s="96"/>
      <c r="D84" s="96"/>
      <c r="E84" s="96"/>
      <c r="K84" s="106"/>
      <c r="P84" s="96"/>
      <c r="W84" s="96"/>
      <c r="X84" s="96"/>
      <c r="Y84" s="96"/>
    </row>
    <row r="85" spans="3:25" x14ac:dyDescent="0.25">
      <c r="C85" s="96"/>
      <c r="D85" s="96"/>
      <c r="E85" s="96"/>
      <c r="K85" s="106"/>
      <c r="P85" s="96"/>
      <c r="W85" s="96"/>
      <c r="X85" s="96"/>
      <c r="Y85" s="96"/>
    </row>
    <row r="86" spans="3:25" x14ac:dyDescent="0.25">
      <c r="C86" s="96"/>
      <c r="D86" s="96"/>
      <c r="E86" s="96"/>
      <c r="K86" s="106"/>
      <c r="P86" s="96"/>
      <c r="W86" s="96"/>
      <c r="X86" s="96"/>
      <c r="Y86" s="96"/>
    </row>
    <row r="87" spans="3:25" x14ac:dyDescent="0.25">
      <c r="C87" s="96"/>
      <c r="D87" s="96"/>
      <c r="E87" s="96"/>
      <c r="K87" s="106"/>
      <c r="P87" s="96"/>
      <c r="W87" s="96"/>
      <c r="X87" s="96"/>
      <c r="Y87" s="96"/>
    </row>
    <row r="88" spans="3:25" x14ac:dyDescent="0.25">
      <c r="C88" s="96"/>
      <c r="D88" s="96"/>
      <c r="E88" s="96"/>
      <c r="K88" s="106"/>
      <c r="P88" s="96"/>
      <c r="W88" s="96"/>
      <c r="X88" s="96"/>
      <c r="Y88" s="96"/>
    </row>
    <row r="89" spans="3:25" x14ac:dyDescent="0.25">
      <c r="C89" s="96"/>
      <c r="D89" s="96"/>
      <c r="E89" s="96"/>
      <c r="K89" s="106"/>
      <c r="P89" s="96"/>
      <c r="W89" s="96"/>
      <c r="X89" s="96"/>
      <c r="Y89" s="96"/>
    </row>
    <row r="90" spans="3:25" x14ac:dyDescent="0.25">
      <c r="C90" s="96"/>
      <c r="D90" s="96"/>
      <c r="E90" s="96"/>
      <c r="K90" s="106"/>
      <c r="P90" s="96"/>
      <c r="W90" s="96"/>
      <c r="X90" s="96"/>
      <c r="Y90" s="96"/>
    </row>
    <row r="91" spans="3:25" x14ac:dyDescent="0.25">
      <c r="C91" s="96"/>
      <c r="D91" s="96"/>
      <c r="E91" s="96"/>
      <c r="K91" s="106"/>
      <c r="P91" s="96"/>
      <c r="W91" s="96"/>
      <c r="X91" s="96"/>
      <c r="Y91" s="96"/>
    </row>
    <row r="92" spans="3:25" x14ac:dyDescent="0.25">
      <c r="C92" s="96"/>
      <c r="D92" s="96"/>
      <c r="E92" s="96"/>
      <c r="K92" s="106"/>
      <c r="P92" s="96"/>
      <c r="W92" s="96"/>
      <c r="X92" s="96"/>
      <c r="Y92" s="96"/>
    </row>
    <row r="93" spans="3:25" x14ac:dyDescent="0.25">
      <c r="C93" s="96"/>
      <c r="D93" s="96"/>
      <c r="E93" s="96"/>
      <c r="K93" s="106"/>
      <c r="P93" s="96"/>
      <c r="W93" s="96"/>
      <c r="X93" s="96"/>
      <c r="Y93" s="96"/>
    </row>
    <row r="94" spans="3:25" x14ac:dyDescent="0.25">
      <c r="C94" s="96"/>
      <c r="D94" s="96"/>
      <c r="E94" s="96"/>
      <c r="K94" s="106"/>
      <c r="P94" s="96"/>
      <c r="W94" s="96"/>
      <c r="X94" s="96"/>
      <c r="Y94" s="96"/>
    </row>
    <row r="95" spans="3:25" x14ac:dyDescent="0.25">
      <c r="C95" s="96"/>
      <c r="D95" s="96"/>
      <c r="E95" s="96"/>
      <c r="K95" s="106"/>
      <c r="P95" s="96"/>
      <c r="W95" s="96"/>
      <c r="X95" s="96"/>
      <c r="Y95" s="96"/>
    </row>
    <row r="96" spans="3:25" x14ac:dyDescent="0.25">
      <c r="C96" s="96"/>
      <c r="D96" s="96"/>
      <c r="E96" s="96"/>
      <c r="K96" s="106"/>
      <c r="P96" s="96"/>
      <c r="W96" s="96"/>
      <c r="X96" s="96"/>
      <c r="Y96" s="96"/>
    </row>
    <row r="97" spans="3:25" x14ac:dyDescent="0.25">
      <c r="C97" s="96"/>
      <c r="D97" s="96"/>
      <c r="E97" s="96"/>
      <c r="K97" s="106"/>
      <c r="P97" s="96"/>
      <c r="W97" s="96"/>
      <c r="X97" s="96"/>
      <c r="Y97" s="96"/>
    </row>
    <row r="98" spans="3:25" x14ac:dyDescent="0.25">
      <c r="C98" s="96"/>
      <c r="D98" s="96"/>
      <c r="E98" s="96"/>
      <c r="K98" s="106"/>
      <c r="P98" s="96"/>
      <c r="W98" s="96"/>
      <c r="X98" s="96"/>
      <c r="Y98" s="96"/>
    </row>
    <row r="99" spans="3:25" x14ac:dyDescent="0.25">
      <c r="C99" s="96"/>
      <c r="D99" s="96"/>
      <c r="E99" s="96"/>
      <c r="K99" s="106"/>
      <c r="P99" s="96"/>
      <c r="W99" s="96"/>
      <c r="X99" s="96"/>
      <c r="Y99" s="96"/>
    </row>
    <row r="100" spans="3:25" x14ac:dyDescent="0.25">
      <c r="C100" s="96"/>
      <c r="D100" s="96"/>
      <c r="E100" s="96"/>
      <c r="K100" s="106"/>
      <c r="P100" s="96"/>
      <c r="W100" s="96"/>
      <c r="X100" s="96"/>
      <c r="Y100" s="96"/>
    </row>
    <row r="101" spans="3:25" x14ac:dyDescent="0.25">
      <c r="C101" s="96"/>
      <c r="D101" s="96"/>
      <c r="E101" s="96"/>
      <c r="K101" s="106"/>
      <c r="P101" s="96"/>
      <c r="W101" s="96"/>
      <c r="X101" s="96"/>
      <c r="Y101" s="96"/>
    </row>
    <row r="102" spans="3:25" x14ac:dyDescent="0.25">
      <c r="C102" s="96"/>
      <c r="D102" s="96"/>
      <c r="E102" s="96"/>
      <c r="K102" s="106"/>
      <c r="P102" s="96"/>
      <c r="W102" s="96"/>
      <c r="X102" s="96"/>
      <c r="Y102" s="96"/>
    </row>
    <row r="103" spans="3:25" x14ac:dyDescent="0.25">
      <c r="C103" s="96"/>
      <c r="D103" s="96"/>
      <c r="E103" s="96"/>
      <c r="K103" s="106"/>
      <c r="P103" s="96"/>
      <c r="W103" s="96"/>
      <c r="X103" s="96"/>
      <c r="Y103" s="96"/>
    </row>
    <row r="104" spans="3:25" x14ac:dyDescent="0.25">
      <c r="C104" s="96"/>
      <c r="D104" s="96"/>
      <c r="E104" s="96"/>
      <c r="K104" s="106"/>
      <c r="P104" s="96"/>
      <c r="W104" s="96"/>
      <c r="X104" s="96"/>
      <c r="Y104" s="96"/>
    </row>
    <row r="105" spans="3:25" x14ac:dyDescent="0.25">
      <c r="C105" s="96"/>
      <c r="D105" s="96"/>
      <c r="E105" s="96"/>
      <c r="K105" s="106"/>
      <c r="P105" s="96"/>
      <c r="W105" s="96"/>
      <c r="X105" s="96"/>
      <c r="Y105" s="96"/>
    </row>
    <row r="106" spans="3:25" x14ac:dyDescent="0.25">
      <c r="C106" s="96"/>
      <c r="D106" s="96"/>
      <c r="E106" s="96"/>
      <c r="K106" s="106"/>
      <c r="P106" s="96"/>
      <c r="W106" s="96"/>
      <c r="X106" s="96"/>
      <c r="Y106" s="96"/>
    </row>
    <row r="107" spans="3:25" x14ac:dyDescent="0.25">
      <c r="C107" s="96"/>
      <c r="D107" s="96"/>
      <c r="E107" s="96"/>
      <c r="K107" s="106"/>
      <c r="P107" s="96"/>
      <c r="W107" s="96"/>
      <c r="X107" s="96"/>
      <c r="Y107" s="96"/>
    </row>
    <row r="108" spans="3:25" x14ac:dyDescent="0.25">
      <c r="C108" s="96"/>
      <c r="D108" s="96"/>
      <c r="E108" s="96"/>
      <c r="K108" s="106"/>
      <c r="P108" s="96"/>
      <c r="W108" s="96"/>
      <c r="X108" s="96"/>
      <c r="Y108" s="96"/>
    </row>
    <row r="109" spans="3:25" x14ac:dyDescent="0.25">
      <c r="C109" s="96"/>
      <c r="D109" s="96"/>
      <c r="E109" s="96"/>
      <c r="K109" s="106"/>
      <c r="P109" s="96"/>
      <c r="W109" s="96"/>
      <c r="X109" s="96"/>
      <c r="Y109" s="96"/>
    </row>
    <row r="110" spans="3:25" x14ac:dyDescent="0.25">
      <c r="C110" s="96"/>
      <c r="D110" s="96"/>
      <c r="E110" s="96"/>
      <c r="K110" s="106"/>
      <c r="P110" s="96"/>
      <c r="W110" s="96"/>
      <c r="X110" s="96"/>
      <c r="Y110" s="96"/>
    </row>
    <row r="111" spans="3:25" x14ac:dyDescent="0.25">
      <c r="C111" s="96"/>
      <c r="D111" s="96"/>
      <c r="E111" s="96"/>
      <c r="K111" s="106"/>
      <c r="P111" s="96"/>
      <c r="W111" s="96"/>
      <c r="X111" s="96"/>
      <c r="Y111" s="96"/>
    </row>
    <row r="112" spans="3:25" x14ac:dyDescent="0.25">
      <c r="C112" s="96"/>
      <c r="D112" s="96"/>
      <c r="E112" s="96"/>
      <c r="K112" s="106"/>
      <c r="P112" s="96"/>
      <c r="W112" s="96"/>
      <c r="X112" s="96"/>
      <c r="Y112" s="96"/>
    </row>
    <row r="113" spans="3:25" x14ac:dyDescent="0.25">
      <c r="C113" s="96"/>
      <c r="D113" s="96"/>
      <c r="E113" s="96"/>
      <c r="K113" s="106"/>
      <c r="P113" s="96"/>
      <c r="W113" s="96"/>
      <c r="X113" s="96"/>
      <c r="Y113" s="96"/>
    </row>
    <row r="114" spans="3:25" x14ac:dyDescent="0.25">
      <c r="C114" s="96"/>
      <c r="D114" s="96"/>
      <c r="E114" s="96"/>
      <c r="K114" s="106"/>
      <c r="P114" s="96"/>
      <c r="W114" s="96"/>
      <c r="X114" s="96"/>
      <c r="Y114" s="96"/>
    </row>
    <row r="115" spans="3:25" x14ac:dyDescent="0.25">
      <c r="C115" s="96"/>
      <c r="D115" s="96"/>
      <c r="E115" s="96"/>
      <c r="K115" s="106"/>
      <c r="P115" s="96"/>
      <c r="W115" s="96"/>
      <c r="X115" s="96"/>
      <c r="Y115" s="96"/>
    </row>
    <row r="116" spans="3:25" x14ac:dyDescent="0.25">
      <c r="C116" s="96"/>
      <c r="D116" s="96"/>
      <c r="E116" s="96"/>
      <c r="K116" s="106"/>
      <c r="P116" s="96"/>
      <c r="W116" s="96"/>
      <c r="X116" s="96"/>
      <c r="Y116" s="96"/>
    </row>
    <row r="117" spans="3:25" x14ac:dyDescent="0.25">
      <c r="C117" s="96"/>
      <c r="D117" s="96"/>
      <c r="E117" s="96"/>
      <c r="K117" s="106"/>
      <c r="P117" s="96"/>
      <c r="W117" s="96"/>
      <c r="X117" s="96"/>
      <c r="Y117" s="96"/>
    </row>
    <row r="118" spans="3:25" x14ac:dyDescent="0.25">
      <c r="C118" s="96"/>
      <c r="D118" s="96"/>
      <c r="E118" s="96"/>
      <c r="K118" s="106"/>
      <c r="P118" s="96"/>
      <c r="W118" s="96"/>
      <c r="X118" s="96"/>
      <c r="Y118" s="96"/>
    </row>
    <row r="119" spans="3:25" x14ac:dyDescent="0.25">
      <c r="C119" s="96"/>
      <c r="D119" s="96"/>
      <c r="E119" s="96"/>
      <c r="K119" s="106"/>
      <c r="P119" s="96"/>
      <c r="W119" s="96"/>
      <c r="X119" s="96"/>
      <c r="Y119" s="96"/>
    </row>
    <row r="120" spans="3:25" x14ac:dyDescent="0.25">
      <c r="C120" s="96"/>
      <c r="D120" s="96"/>
      <c r="E120" s="96"/>
      <c r="K120" s="106"/>
      <c r="P120" s="96"/>
      <c r="W120" s="96"/>
      <c r="X120" s="96"/>
      <c r="Y120" s="96"/>
    </row>
    <row r="121" spans="3:25" x14ac:dyDescent="0.25">
      <c r="C121" s="96"/>
      <c r="D121" s="96"/>
      <c r="E121" s="96"/>
      <c r="K121" s="106"/>
      <c r="P121" s="96"/>
      <c r="W121" s="96"/>
      <c r="X121" s="96"/>
      <c r="Y121" s="96"/>
    </row>
    <row r="122" spans="3:25" x14ac:dyDescent="0.25">
      <c r="C122" s="96"/>
      <c r="D122" s="96"/>
      <c r="E122" s="96"/>
      <c r="K122" s="106"/>
      <c r="P122" s="96"/>
      <c r="W122" s="96"/>
      <c r="X122" s="96"/>
      <c r="Y122" s="96"/>
    </row>
    <row r="123" spans="3:25" x14ac:dyDescent="0.25">
      <c r="C123" s="96"/>
      <c r="D123" s="96"/>
      <c r="E123" s="96"/>
      <c r="K123" s="106"/>
      <c r="P123" s="96"/>
      <c r="W123" s="96"/>
      <c r="X123" s="96"/>
      <c r="Y123" s="96"/>
    </row>
    <row r="124" spans="3:25" x14ac:dyDescent="0.25">
      <c r="C124" s="96"/>
      <c r="D124" s="96"/>
      <c r="E124" s="96"/>
      <c r="K124" s="106"/>
      <c r="P124" s="96"/>
      <c r="W124" s="96"/>
      <c r="X124" s="96"/>
      <c r="Y124" s="96"/>
    </row>
    <row r="125" spans="3:25" x14ac:dyDescent="0.25">
      <c r="C125" s="96"/>
      <c r="D125" s="96"/>
      <c r="E125" s="96"/>
      <c r="K125" s="106"/>
      <c r="P125" s="96"/>
      <c r="W125" s="96"/>
      <c r="X125" s="96"/>
      <c r="Y125" s="96"/>
    </row>
    <row r="126" spans="3:25" x14ac:dyDescent="0.25">
      <c r="C126" s="96"/>
      <c r="D126" s="96"/>
      <c r="E126" s="96"/>
      <c r="K126" s="106"/>
      <c r="P126" s="96"/>
      <c r="W126" s="96"/>
      <c r="X126" s="96"/>
      <c r="Y126" s="96"/>
    </row>
    <row r="127" spans="3:25" x14ac:dyDescent="0.25">
      <c r="C127" s="96"/>
      <c r="D127" s="96"/>
      <c r="E127" s="96"/>
      <c r="K127" s="106"/>
      <c r="P127" s="96"/>
      <c r="W127" s="96"/>
      <c r="X127" s="96"/>
      <c r="Y127" s="96"/>
    </row>
    <row r="128" spans="3:25" x14ac:dyDescent="0.25">
      <c r="C128" s="96"/>
      <c r="D128" s="96"/>
      <c r="E128" s="96"/>
      <c r="K128" s="106"/>
      <c r="P128" s="96"/>
      <c r="W128" s="96"/>
      <c r="X128" s="96"/>
      <c r="Y128" s="96"/>
    </row>
    <row r="129" spans="3:25" x14ac:dyDescent="0.25">
      <c r="C129" s="96"/>
      <c r="D129" s="96"/>
      <c r="E129" s="96"/>
      <c r="K129" s="106"/>
      <c r="P129" s="96"/>
      <c r="W129" s="96"/>
      <c r="X129" s="96"/>
      <c r="Y129" s="96"/>
    </row>
    <row r="130" spans="3:25" x14ac:dyDescent="0.25">
      <c r="C130" s="96"/>
      <c r="D130" s="96"/>
      <c r="E130" s="96"/>
      <c r="K130" s="106"/>
      <c r="P130" s="96"/>
      <c r="W130" s="96"/>
      <c r="X130" s="96"/>
      <c r="Y130" s="96"/>
    </row>
    <row r="131" spans="3:25" x14ac:dyDescent="0.25">
      <c r="C131" s="96"/>
      <c r="D131" s="96"/>
      <c r="E131" s="96"/>
      <c r="K131" s="106"/>
      <c r="P131" s="96"/>
      <c r="W131" s="96"/>
      <c r="X131" s="96"/>
      <c r="Y131" s="96"/>
    </row>
    <row r="132" spans="3:25" x14ac:dyDescent="0.25">
      <c r="C132" s="96"/>
      <c r="D132" s="96"/>
      <c r="E132" s="96"/>
      <c r="K132" s="106"/>
      <c r="P132" s="96"/>
      <c r="W132" s="96"/>
      <c r="X132" s="96"/>
      <c r="Y132" s="96"/>
    </row>
    <row r="133" spans="3:25" x14ac:dyDescent="0.25">
      <c r="C133" s="96"/>
      <c r="D133" s="96"/>
      <c r="E133" s="96"/>
      <c r="K133" s="106"/>
      <c r="P133" s="96"/>
      <c r="W133" s="96"/>
      <c r="X133" s="96"/>
      <c r="Y133" s="96"/>
    </row>
    <row r="134" spans="3:25" x14ac:dyDescent="0.25">
      <c r="C134" s="96"/>
      <c r="D134" s="96"/>
      <c r="E134" s="96"/>
      <c r="K134" s="106"/>
      <c r="P134" s="96"/>
      <c r="W134" s="96"/>
      <c r="X134" s="96"/>
      <c r="Y134" s="96"/>
    </row>
    <row r="135" spans="3:25" x14ac:dyDescent="0.25">
      <c r="C135" s="96"/>
      <c r="D135" s="96"/>
      <c r="E135" s="96"/>
      <c r="K135" s="106"/>
      <c r="P135" s="96"/>
      <c r="W135" s="96"/>
      <c r="X135" s="96"/>
      <c r="Y135" s="96"/>
    </row>
    <row r="136" spans="3:25" x14ac:dyDescent="0.25">
      <c r="C136" s="96"/>
      <c r="D136" s="96"/>
      <c r="E136" s="96"/>
      <c r="K136" s="106"/>
      <c r="P136" s="96"/>
      <c r="W136" s="96"/>
      <c r="X136" s="96"/>
      <c r="Y136" s="96"/>
    </row>
    <row r="137" spans="3:25" x14ac:dyDescent="0.25">
      <c r="C137" s="96"/>
      <c r="D137" s="96"/>
      <c r="E137" s="96"/>
      <c r="K137" s="106"/>
      <c r="P137" s="96"/>
      <c r="W137" s="96"/>
      <c r="X137" s="96"/>
      <c r="Y137" s="96"/>
    </row>
    <row r="138" spans="3:25" x14ac:dyDescent="0.25">
      <c r="C138" s="96"/>
      <c r="D138" s="96"/>
      <c r="E138" s="96"/>
      <c r="K138" s="106"/>
      <c r="P138" s="96"/>
      <c r="W138" s="96"/>
      <c r="X138" s="96"/>
      <c r="Y138" s="96"/>
    </row>
    <row r="139" spans="3:25" x14ac:dyDescent="0.25">
      <c r="K139" s="106"/>
      <c r="P139" s="96"/>
      <c r="W139" s="96"/>
      <c r="X139" s="96"/>
      <c r="Y139" s="96"/>
    </row>
    <row r="140" spans="3:25" x14ac:dyDescent="0.25">
      <c r="K140" s="106"/>
      <c r="P140" s="96"/>
      <c r="W140" s="96"/>
      <c r="X140" s="96"/>
      <c r="Y140" s="96"/>
    </row>
    <row r="141" spans="3:25" x14ac:dyDescent="0.25">
      <c r="K141" s="106"/>
      <c r="P141" s="96"/>
      <c r="W141" s="96"/>
      <c r="X141" s="96"/>
      <c r="Y141" s="96"/>
    </row>
    <row r="142" spans="3:25" x14ac:dyDescent="0.25">
      <c r="K142" s="106"/>
      <c r="P142" s="96"/>
      <c r="W142" s="96"/>
      <c r="X142" s="96"/>
      <c r="Y142" s="96"/>
    </row>
    <row r="143" spans="3:25" x14ac:dyDescent="0.25">
      <c r="K143" s="106"/>
      <c r="P143" s="96"/>
      <c r="W143" s="96"/>
      <c r="X143" s="96"/>
      <c r="Y143" s="96"/>
    </row>
    <row r="144" spans="3:25" x14ac:dyDescent="0.25">
      <c r="K144" s="106"/>
      <c r="P144" s="96"/>
      <c r="W144" s="96"/>
      <c r="X144" s="96"/>
      <c r="Y144" s="96"/>
    </row>
    <row r="145" spans="16:25" x14ac:dyDescent="0.25">
      <c r="P145" s="96"/>
      <c r="W145" s="96"/>
      <c r="X145" s="96"/>
      <c r="Y145" s="96"/>
    </row>
    <row r="146" spans="16:25" x14ac:dyDescent="0.25">
      <c r="P146" s="96"/>
      <c r="W146" s="96"/>
      <c r="X146" s="96"/>
      <c r="Y146" s="96"/>
    </row>
    <row r="147" spans="16:25" x14ac:dyDescent="0.25">
      <c r="P147" s="96"/>
      <c r="W147" s="96"/>
      <c r="X147" s="96"/>
      <c r="Y147" s="96"/>
    </row>
    <row r="148" spans="16:25" x14ac:dyDescent="0.25">
      <c r="P148" s="96"/>
      <c r="W148" s="96"/>
      <c r="X148" s="96"/>
      <c r="Y148" s="96"/>
    </row>
    <row r="149" spans="16:25" x14ac:dyDescent="0.25">
      <c r="P149" s="96"/>
      <c r="W149" s="96"/>
      <c r="X149" s="96"/>
      <c r="Y149" s="96"/>
    </row>
    <row r="150" spans="16:25" x14ac:dyDescent="0.25">
      <c r="P150" s="96"/>
      <c r="W150" s="96"/>
      <c r="X150" s="96"/>
      <c r="Y150" s="96"/>
    </row>
    <row r="151" spans="16:25" x14ac:dyDescent="0.25">
      <c r="P151" s="96"/>
      <c r="W151" s="96"/>
      <c r="X151" s="96"/>
      <c r="Y151" s="96"/>
    </row>
    <row r="152" spans="16:25" x14ac:dyDescent="0.25">
      <c r="P152" s="96"/>
      <c r="W152" s="96"/>
      <c r="X152" s="96"/>
      <c r="Y152" s="96"/>
    </row>
    <row r="153" spans="16:25" x14ac:dyDescent="0.25">
      <c r="P153" s="96"/>
      <c r="W153" s="96"/>
      <c r="X153" s="96"/>
      <c r="Y153" s="96"/>
    </row>
    <row r="154" spans="16:25" x14ac:dyDescent="0.25">
      <c r="P154" s="96"/>
      <c r="W154" s="96"/>
      <c r="X154" s="96"/>
      <c r="Y154" s="96"/>
    </row>
  </sheetData>
  <sheetProtection sheet="1" objects="1" scenarios="1" formatColumns="0" formatRows="0"/>
  <mergeCells count="2">
    <mergeCell ref="B3:F3"/>
    <mergeCell ref="Q9:W9"/>
  </mergeCells>
  <phoneticPr fontId="23" type="noConversion"/>
  <conditionalFormatting sqref="I11:W23 I25:W26">
    <cfRule type="top10" dxfId="0" priority="2" rank="1"/>
  </conditionalFormatting>
  <dataValidations count="1">
    <dataValidation type="list" allowBlank="1" showInputMessage="1" showErrorMessage="1" sqref="B6">
      <formula1>$C$29:$C$32</formula1>
    </dataValidation>
  </dataValidations>
  <hyperlinks>
    <hyperlink ref="A11" location="'Irr Alfalfa'!A1" display="'Irr Alfalfa'!A1"/>
    <hyperlink ref="A12" location="'Irr Canola'!A1" display="'Irr Canola'!A1"/>
    <hyperlink ref="A13" location="'Irr Corn'!A1" display="'Irr Corn'!A1"/>
    <hyperlink ref="A14" location="'Irr Corn Silage'!A1" display="'Irr Corn Silage'!A1"/>
    <hyperlink ref="A15" location="'Irr Cotton'!A1" display="'Irr Cotton'!A1"/>
    <hyperlink ref="A16" location="'Irr Peanuts'!A1" display="'Irr Peanuts'!A1"/>
    <hyperlink ref="A17" location="'Irr Sorghum'!A1" display="'Irr Sorghum'!A1"/>
    <hyperlink ref="A18" location="'Irr Sorghum Seed'!A1" display="'Irr Sorghum Seed'!A1"/>
    <hyperlink ref="A19" location="'Irr Sorghum Silage'!A1" display="'Irr Sorghum Silage'!A1"/>
    <hyperlink ref="A20" location="'Irr Sorghum Sudangrass'!A1" display="'Irr Sorghum Sudangrass'!A1"/>
    <hyperlink ref="A21" location="'Irr Soybeans'!A1" display="'Irr Soybeans'!A1"/>
    <hyperlink ref="A22" location="'Irr Sunflowers-Confection'!A1" display="'Irr Sunflowers-Confection'!A1"/>
    <hyperlink ref="A23" location="'Irr Sunflowers-Oilseed'!A1" display="'Irr Sunflowers-Oilseed'!A1"/>
    <hyperlink ref="A25" location="'Irr Wheat'!A1" display="'Irr Wheat'!A1"/>
    <hyperlink ref="A26" location="'Irr Other Crop'!A1" display="'Irr Other Crop'!A1"/>
    <hyperlink ref="A27" location="'Dry Canola'!A1" display="'Dry Canola'!A1"/>
    <hyperlink ref="A28" location="'Dry Cotton'!A1" display="'Dry Cotton'!A1"/>
    <hyperlink ref="A29" location="'Dry Sorghum'!A1" display="'Dry Sorghum'!A1"/>
    <hyperlink ref="A30" location="'Dry Sorghum Sudangrass'!A1" display="'Dry Sorghum Sudangrass'!A1"/>
    <hyperlink ref="A31" location="'Dry Sunflowers-Oilseed'!A1" display="'Dry Sunflowers-Oilseed'!A1"/>
    <hyperlink ref="A32" location="'Dry Wheat'!A1" display="'Dry Wheat'!A1"/>
    <hyperlink ref="A33" location="'Dry Other Crop'!A1" display="'Dry Other Crop'!A1"/>
    <hyperlink ref="A24" location="'Irr Triticale Silage'!A1" display="'Irr Triticale Silage'!A1"/>
  </hyperlinks>
  <printOptions horizontalCentered="1"/>
  <pageMargins left="0.25" right="0.25" top="0.75" bottom="0.75" header="0.3" footer="0.3"/>
  <pageSetup scale="37" orientation="portrait" r:id="rId1"/>
  <headerFooter alignWithMargins="0">
    <oddFooter>&amp;C&amp;8Texas AgriLife Extension Service provides this software for educational use, solely on an “AS IS” basis and  assumes no liability for its use.</oddFooter>
  </headerFooter>
  <ignoredErrors>
    <ignoredError sqref="B11:B26"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50"/>
  <sheetViews>
    <sheetView showGridLines="0" showRowColHeaders="0" workbookViewId="0">
      <pane ySplit="2" topLeftCell="A13" activePane="bottomLeft" state="frozen"/>
      <selection activeCell="B17" sqref="B17"/>
      <selection pane="bottomLeft" activeCell="B18" sqref="B18"/>
    </sheetView>
  </sheetViews>
  <sheetFormatPr defaultRowHeight="13.2" x14ac:dyDescent="0.25"/>
  <cols>
    <col min="1" max="1" width="24.5546875" bestFit="1" customWidth="1"/>
    <col min="2" max="2" width="12.5546875" bestFit="1" customWidth="1"/>
    <col min="3" max="3" width="10.109375" bestFit="1" customWidth="1"/>
    <col min="8" max="8" width="11.109375" customWidth="1"/>
    <col min="10" max="10" width="11.44140625" customWidth="1"/>
  </cols>
  <sheetData>
    <row r="1" spans="1:19" ht="32.25" customHeight="1" x14ac:dyDescent="0.25">
      <c r="A1" s="77"/>
      <c r="B1" s="77"/>
      <c r="C1" s="77"/>
      <c r="D1" s="77"/>
      <c r="E1" s="77"/>
      <c r="F1" s="77"/>
      <c r="G1" s="77"/>
      <c r="H1" s="77"/>
      <c r="L1" s="77"/>
      <c r="M1" s="77"/>
      <c r="N1" s="77"/>
      <c r="O1" s="77"/>
      <c r="P1" s="77"/>
      <c r="Q1" s="77"/>
      <c r="R1" s="77"/>
      <c r="S1" s="77"/>
    </row>
    <row r="2" spans="1:19" ht="15.6" x14ac:dyDescent="0.3">
      <c r="A2" s="49" t="s">
        <v>61</v>
      </c>
    </row>
    <row r="3" spans="1:19" x14ac:dyDescent="0.25">
      <c r="A3" s="58" t="s">
        <v>78</v>
      </c>
      <c r="B3" s="58" t="s">
        <v>6</v>
      </c>
      <c r="C3" s="58" t="s">
        <v>5</v>
      </c>
    </row>
    <row r="4" spans="1:19" x14ac:dyDescent="0.25">
      <c r="A4" s="51" t="s">
        <v>107</v>
      </c>
      <c r="B4" s="78">
        <v>140</v>
      </c>
      <c r="C4" t="s">
        <v>51</v>
      </c>
    </row>
    <row r="5" spans="1:19" x14ac:dyDescent="0.25">
      <c r="A5" s="51" t="s">
        <v>69</v>
      </c>
      <c r="B5" s="88">
        <v>13.9</v>
      </c>
      <c r="C5" t="s">
        <v>54</v>
      </c>
    </row>
    <row r="6" spans="1:19" x14ac:dyDescent="0.25">
      <c r="A6" s="51" t="s">
        <v>72</v>
      </c>
      <c r="B6" s="57">
        <v>3.8</v>
      </c>
      <c r="C6" t="s">
        <v>80</v>
      </c>
    </row>
    <row r="7" spans="1:19" x14ac:dyDescent="0.25">
      <c r="A7" s="51" t="s">
        <v>73</v>
      </c>
      <c r="B7" s="57">
        <v>35.1</v>
      </c>
      <c r="C7" t="s">
        <v>51</v>
      </c>
    </row>
    <row r="8" spans="1:19" x14ac:dyDescent="0.25">
      <c r="A8" s="51" t="s">
        <v>70</v>
      </c>
      <c r="B8" s="79">
        <v>0.65</v>
      </c>
      <c r="C8" t="s">
        <v>79</v>
      </c>
    </row>
    <row r="9" spans="1:19" x14ac:dyDescent="0.25">
      <c r="A9" s="51" t="s">
        <v>71</v>
      </c>
      <c r="B9" s="57">
        <v>200</v>
      </c>
      <c r="C9" t="s">
        <v>51</v>
      </c>
    </row>
    <row r="10" spans="1:19" x14ac:dyDescent="0.25">
      <c r="A10" s="51" t="s">
        <v>57</v>
      </c>
      <c r="B10" s="57">
        <v>420</v>
      </c>
      <c r="C10" t="s">
        <v>51</v>
      </c>
    </row>
    <row r="11" spans="1:19" x14ac:dyDescent="0.25">
      <c r="A11" s="117" t="s">
        <v>174</v>
      </c>
      <c r="B11" s="57">
        <v>5.75</v>
      </c>
      <c r="C11" t="s">
        <v>54</v>
      </c>
    </row>
    <row r="12" spans="1:19" x14ac:dyDescent="0.25">
      <c r="A12" s="117" t="s">
        <v>175</v>
      </c>
      <c r="B12" s="88">
        <v>16.899999999999999</v>
      </c>
      <c r="C12" t="s">
        <v>54</v>
      </c>
    </row>
    <row r="13" spans="1:19" x14ac:dyDescent="0.25">
      <c r="A13" s="51" t="s">
        <v>74</v>
      </c>
      <c r="B13" s="57">
        <v>31.6</v>
      </c>
      <c r="C13" t="s">
        <v>51</v>
      </c>
    </row>
    <row r="14" spans="1:19" x14ac:dyDescent="0.25">
      <c r="A14" s="51" t="s">
        <v>75</v>
      </c>
      <c r="B14" s="57">
        <v>8.4</v>
      </c>
      <c r="C14" t="s">
        <v>80</v>
      </c>
    </row>
    <row r="15" spans="1:19" x14ac:dyDescent="0.25">
      <c r="A15" s="51" t="s">
        <v>131</v>
      </c>
      <c r="B15" s="57">
        <v>21</v>
      </c>
      <c r="C15" t="s">
        <v>54</v>
      </c>
    </row>
    <row r="16" spans="1:19" x14ac:dyDescent="0.25">
      <c r="A16" s="51" t="s">
        <v>76</v>
      </c>
      <c r="B16" s="57">
        <v>16.5</v>
      </c>
      <c r="C16" t="s">
        <v>54</v>
      </c>
    </row>
    <row r="17" spans="1:10" x14ac:dyDescent="0.25">
      <c r="A17" s="117" t="s">
        <v>268</v>
      </c>
      <c r="B17" s="57">
        <v>31.6</v>
      </c>
      <c r="C17" s="85" t="s">
        <v>51</v>
      </c>
    </row>
    <row r="18" spans="1:10" x14ac:dyDescent="0.25">
      <c r="A18" s="51" t="s">
        <v>77</v>
      </c>
      <c r="B18" s="57">
        <v>3.95</v>
      </c>
      <c r="C18" t="s">
        <v>80</v>
      </c>
    </row>
    <row r="19" spans="1:10" x14ac:dyDescent="0.25">
      <c r="A19" s="277" t="s">
        <v>166</v>
      </c>
      <c r="B19" s="57">
        <v>0</v>
      </c>
      <c r="C19" s="258" t="s">
        <v>170</v>
      </c>
    </row>
    <row r="20" spans="1:10" x14ac:dyDescent="0.25">
      <c r="A20" s="277" t="s">
        <v>169</v>
      </c>
      <c r="B20" s="57">
        <v>0</v>
      </c>
      <c r="C20" s="258" t="s">
        <v>170</v>
      </c>
    </row>
    <row r="21" spans="1:10" x14ac:dyDescent="0.25">
      <c r="A21" s="305"/>
      <c r="B21" s="306"/>
      <c r="C21" s="307"/>
    </row>
    <row r="22" spans="1:10" x14ac:dyDescent="0.25">
      <c r="A22" s="117" t="s">
        <v>257</v>
      </c>
      <c r="B22" s="57">
        <v>0.4</v>
      </c>
      <c r="C22" t="s">
        <v>258</v>
      </c>
    </row>
    <row r="23" spans="1:10" ht="15.6" x14ac:dyDescent="0.3">
      <c r="A23" s="49"/>
      <c r="B23" s="58"/>
    </row>
    <row r="24" spans="1:10" x14ac:dyDescent="0.25">
      <c r="A24" s="58" t="s">
        <v>63</v>
      </c>
      <c r="B24" s="58" t="s">
        <v>6</v>
      </c>
      <c r="C24" s="58" t="s">
        <v>5</v>
      </c>
      <c r="E24" s="58" t="s">
        <v>129</v>
      </c>
    </row>
    <row r="25" spans="1:10" x14ac:dyDescent="0.25">
      <c r="A25" s="4" t="s">
        <v>0</v>
      </c>
      <c r="B25" s="58"/>
      <c r="J25" s="50" t="s">
        <v>130</v>
      </c>
    </row>
    <row r="26" spans="1:10" x14ac:dyDescent="0.25">
      <c r="A26" s="7" t="s">
        <v>134</v>
      </c>
      <c r="B26" s="54">
        <f t="shared" ref="B26:B27" si="0">J26/I26/2000</f>
        <v>0.33043478260869563</v>
      </c>
      <c r="C26" t="s">
        <v>65</v>
      </c>
      <c r="E26" t="s">
        <v>197</v>
      </c>
      <c r="I26" s="81">
        <v>0.46</v>
      </c>
      <c r="J26" s="78">
        <v>304</v>
      </c>
    </row>
    <row r="27" spans="1:10" x14ac:dyDescent="0.25">
      <c r="A27" s="7" t="s">
        <v>135</v>
      </c>
      <c r="B27" s="54">
        <f t="shared" si="0"/>
        <v>0.41015625</v>
      </c>
      <c r="C27" t="s">
        <v>65</v>
      </c>
      <c r="E27" s="85" t="s">
        <v>198</v>
      </c>
      <c r="I27" s="81">
        <v>0.32</v>
      </c>
      <c r="J27" s="78">
        <v>262.5</v>
      </c>
    </row>
    <row r="28" spans="1:10" x14ac:dyDescent="0.25">
      <c r="A28" s="7" t="s">
        <v>255</v>
      </c>
      <c r="B28" s="54">
        <f t="shared" ref="B28" si="1">J28/I28/2000</f>
        <v>0.25000000000000006</v>
      </c>
      <c r="C28" t="s">
        <v>65</v>
      </c>
      <c r="E28" t="s">
        <v>254</v>
      </c>
      <c r="I28" s="81">
        <v>0.82</v>
      </c>
      <c r="J28" s="78">
        <v>410</v>
      </c>
    </row>
    <row r="29" spans="1:10" x14ac:dyDescent="0.25">
      <c r="A29" s="7" t="s">
        <v>133</v>
      </c>
      <c r="B29" s="54">
        <f>J29/I29/2000</f>
        <v>0.42980769230769234</v>
      </c>
      <c r="C29" t="s">
        <v>64</v>
      </c>
      <c r="E29" t="s">
        <v>196</v>
      </c>
      <c r="I29" s="81">
        <v>0.52</v>
      </c>
      <c r="J29" s="78">
        <v>447</v>
      </c>
    </row>
    <row r="30" spans="1:10" x14ac:dyDescent="0.25">
      <c r="A30" s="7" t="s">
        <v>136</v>
      </c>
      <c r="B30" s="54">
        <f t="shared" ref="B30" si="2">J30/I30/2000</f>
        <v>0.47</v>
      </c>
      <c r="C30" t="s">
        <v>64</v>
      </c>
      <c r="E30" s="85" t="s">
        <v>199</v>
      </c>
      <c r="I30" s="81">
        <v>0.34</v>
      </c>
      <c r="J30" s="78">
        <v>319.60000000000002</v>
      </c>
    </row>
    <row r="31" spans="1:10" x14ac:dyDescent="0.25">
      <c r="A31" t="s">
        <v>62</v>
      </c>
      <c r="B31" s="57">
        <v>12.45</v>
      </c>
      <c r="C31" t="s">
        <v>66</v>
      </c>
    </row>
    <row r="32" spans="1:10" x14ac:dyDescent="0.25">
      <c r="A32" s="4" t="s">
        <v>25</v>
      </c>
      <c r="B32" s="57">
        <v>1.81</v>
      </c>
      <c r="C32" t="s">
        <v>67</v>
      </c>
    </row>
    <row r="33" spans="1:11" x14ac:dyDescent="0.25">
      <c r="A33" s="4" t="s">
        <v>27</v>
      </c>
      <c r="B33" s="57">
        <v>1.9259999999999999</v>
      </c>
      <c r="C33" t="s">
        <v>67</v>
      </c>
      <c r="E33" s="7"/>
      <c r="I33" s="54"/>
    </row>
    <row r="34" spans="1:11" x14ac:dyDescent="0.25">
      <c r="A34" s="4" t="s">
        <v>28</v>
      </c>
      <c r="B34" s="57">
        <v>3.6</v>
      </c>
      <c r="C34" t="s">
        <v>68</v>
      </c>
      <c r="E34" s="7"/>
      <c r="I34" s="54"/>
      <c r="K34" s="84"/>
    </row>
    <row r="35" spans="1:11" x14ac:dyDescent="0.25">
      <c r="A35" s="4" t="s">
        <v>34</v>
      </c>
      <c r="B35" s="157">
        <v>5.3999999999999999E-2</v>
      </c>
      <c r="C35" t="s">
        <v>195</v>
      </c>
      <c r="E35" s="7"/>
      <c r="I35" s="54"/>
    </row>
    <row r="36" spans="1:11" x14ac:dyDescent="0.25">
      <c r="A36" s="4" t="s">
        <v>70</v>
      </c>
      <c r="B36" s="59"/>
      <c r="E36" s="7"/>
      <c r="I36" s="54"/>
    </row>
    <row r="37" spans="1:11" x14ac:dyDescent="0.25">
      <c r="A37" s="7" t="s">
        <v>137</v>
      </c>
      <c r="B37" s="60">
        <v>8</v>
      </c>
      <c r="C37" t="s">
        <v>253</v>
      </c>
      <c r="E37" s="7"/>
      <c r="I37" s="54"/>
    </row>
    <row r="38" spans="1:11" x14ac:dyDescent="0.25">
      <c r="A38" s="7" t="s">
        <v>81</v>
      </c>
      <c r="B38" s="57">
        <v>2.75</v>
      </c>
      <c r="C38" t="s">
        <v>82</v>
      </c>
    </row>
    <row r="39" spans="1:11" x14ac:dyDescent="0.25">
      <c r="A39" s="7" t="s">
        <v>127</v>
      </c>
      <c r="B39" s="304">
        <v>750</v>
      </c>
      <c r="C39" t="s">
        <v>128</v>
      </c>
      <c r="E39" t="s">
        <v>151</v>
      </c>
    </row>
    <row r="40" spans="1:11" x14ac:dyDescent="0.25">
      <c r="A40" s="4"/>
      <c r="B40" s="5"/>
      <c r="C40" s="5"/>
      <c r="E40" t="s">
        <v>151</v>
      </c>
    </row>
    <row r="41" spans="1:11" x14ac:dyDescent="0.25">
      <c r="E41" t="s">
        <v>151</v>
      </c>
    </row>
    <row r="46" spans="1:11" x14ac:dyDescent="0.25">
      <c r="E46" t="s">
        <v>151</v>
      </c>
      <c r="H46" s="8"/>
    </row>
    <row r="47" spans="1:11" x14ac:dyDescent="0.25">
      <c r="E47" s="10"/>
      <c r="F47" s="8"/>
      <c r="G47" s="8"/>
      <c r="H47" s="8"/>
    </row>
    <row r="48" spans="1:11" x14ac:dyDescent="0.25">
      <c r="E48" s="4"/>
      <c r="F48" s="4"/>
      <c r="G48" s="8"/>
      <c r="H48" s="4"/>
    </row>
    <row r="49" spans="5:8" x14ac:dyDescent="0.25">
      <c r="E49" s="46"/>
      <c r="F49" s="17"/>
      <c r="G49" s="4"/>
      <c r="H49" s="17"/>
    </row>
    <row r="50" spans="5:8" x14ac:dyDescent="0.25">
      <c r="G50" s="17"/>
    </row>
  </sheetData>
  <sheetProtection sheet="1" objects="1" scenarios="1" formatColumns="0" formatRows="0" selectLockedCells="1"/>
  <phoneticPr fontId="0" type="noConversion"/>
  <printOptions horizontalCentered="1"/>
  <pageMargins left="0.25" right="0.25" top="0.75" bottom="0.75" header="0.3" footer="0.3"/>
  <pageSetup scale="90" orientation="portrait" r:id="rId1"/>
  <headerFooter alignWithMargins="0">
    <oddFooter>&amp;C&amp;8Texas AgriLife Extension Service provides this software for educational use, solely on an “AS IS” basis and  assumes no liability for its use.</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85"/>
  <sheetViews>
    <sheetView showGridLines="0" showRowColHeaders="0" workbookViewId="0">
      <pane ySplit="1" topLeftCell="A2" activePane="bottomLeft" state="frozen"/>
      <selection activeCell="B9" sqref="B9"/>
      <selection pane="bottomLeft" activeCell="B9" sqref="B9"/>
    </sheetView>
  </sheetViews>
  <sheetFormatPr defaultRowHeight="13.2" x14ac:dyDescent="0.25"/>
  <sheetData>
    <row r="1" spans="1:18" ht="32.25" customHeight="1" x14ac:dyDescent="0.25">
      <c r="A1" s="77"/>
      <c r="B1" s="77"/>
      <c r="C1" s="77"/>
      <c r="D1" s="77"/>
      <c r="E1" s="77"/>
      <c r="F1" s="77"/>
      <c r="G1" s="77"/>
      <c r="K1" s="77"/>
      <c r="L1" s="77"/>
      <c r="M1" s="77"/>
      <c r="N1" s="77"/>
      <c r="O1" s="77"/>
      <c r="P1" s="77"/>
      <c r="Q1" s="77"/>
      <c r="R1" s="77"/>
    </row>
    <row r="2" spans="1:18" ht="15.6" x14ac:dyDescent="0.3">
      <c r="A2" s="262" t="s">
        <v>202</v>
      </c>
      <c r="B2" s="200"/>
      <c r="C2" s="200"/>
      <c r="D2" s="200"/>
      <c r="E2" s="200"/>
      <c r="F2" s="200"/>
      <c r="G2" s="200"/>
      <c r="H2" s="200"/>
      <c r="I2" s="200"/>
    </row>
    <row r="3" spans="1:18" x14ac:dyDescent="0.25">
      <c r="E3" s="255"/>
      <c r="F3" s="255"/>
      <c r="G3" s="255"/>
      <c r="H3" s="255"/>
      <c r="I3" s="255"/>
      <c r="J3" s="255"/>
      <c r="K3" s="255"/>
      <c r="L3" s="255"/>
      <c r="M3" s="255"/>
      <c r="N3" s="255"/>
      <c r="O3" s="255"/>
      <c r="P3" s="255"/>
      <c r="Q3" s="255"/>
    </row>
    <row r="4" spans="1:18" x14ac:dyDescent="0.25">
      <c r="E4" s="255"/>
      <c r="F4" s="255"/>
      <c r="G4" s="255"/>
      <c r="H4" s="255"/>
      <c r="I4" s="255"/>
      <c r="J4" s="255"/>
      <c r="K4" s="255"/>
      <c r="L4" s="255"/>
      <c r="M4" s="255"/>
      <c r="N4" s="255"/>
      <c r="O4" s="255"/>
      <c r="P4" s="255"/>
      <c r="Q4" s="255"/>
    </row>
    <row r="5" spans="1:18" x14ac:dyDescent="0.25">
      <c r="E5" s="255"/>
      <c r="F5" s="255"/>
      <c r="G5" s="255"/>
      <c r="H5" s="255"/>
      <c r="I5" s="255"/>
      <c r="J5" s="255"/>
      <c r="K5" s="255"/>
      <c r="L5" s="255"/>
      <c r="M5" s="255"/>
      <c r="N5" s="255"/>
      <c r="O5" s="255"/>
      <c r="P5" s="255"/>
      <c r="Q5" s="255"/>
    </row>
    <row r="6" spans="1:18" x14ac:dyDescent="0.25">
      <c r="E6" s="255"/>
      <c r="F6" s="255"/>
      <c r="G6" s="255"/>
      <c r="H6" s="255"/>
      <c r="I6" s="255"/>
      <c r="J6" s="255"/>
      <c r="K6" s="255"/>
      <c r="L6" s="255"/>
      <c r="M6" s="255"/>
      <c r="N6" s="255"/>
      <c r="O6" s="255"/>
      <c r="P6" s="255"/>
      <c r="Q6" s="255"/>
    </row>
    <row r="7" spans="1:18" x14ac:dyDescent="0.25">
      <c r="E7" s="255"/>
      <c r="F7" s="255"/>
      <c r="G7" s="255"/>
      <c r="H7" s="255"/>
      <c r="I7" s="255"/>
      <c r="J7" s="255"/>
      <c r="K7" s="255"/>
      <c r="L7" s="255"/>
      <c r="M7" s="255"/>
      <c r="N7" s="255"/>
      <c r="O7" s="255"/>
      <c r="P7" s="255"/>
      <c r="Q7" s="255"/>
    </row>
    <row r="53" spans="2:21" x14ac:dyDescent="0.25">
      <c r="B53" s="255"/>
      <c r="C53" s="255"/>
      <c r="D53" s="255"/>
      <c r="E53" s="255"/>
      <c r="F53" s="255"/>
      <c r="G53" s="255"/>
      <c r="H53" s="255"/>
      <c r="I53" s="255"/>
      <c r="J53" s="255"/>
      <c r="K53" s="255"/>
      <c r="L53" s="255"/>
      <c r="M53" s="255"/>
      <c r="N53" s="255"/>
      <c r="O53" s="255"/>
      <c r="P53" s="255"/>
      <c r="Q53" s="255"/>
      <c r="R53" s="255"/>
      <c r="S53" s="255"/>
      <c r="T53" s="255"/>
      <c r="U53" s="255"/>
    </row>
    <row r="54" spans="2:21" x14ac:dyDescent="0.25">
      <c r="B54" s="255"/>
      <c r="C54" s="255"/>
      <c r="D54" s="255"/>
      <c r="E54" s="255"/>
      <c r="F54" s="255"/>
      <c r="G54" s="255"/>
      <c r="H54" s="255"/>
      <c r="I54" s="255"/>
      <c r="J54" s="255"/>
      <c r="K54" s="255"/>
      <c r="L54" s="255"/>
      <c r="M54" s="255"/>
      <c r="N54" s="255"/>
      <c r="O54" s="255"/>
      <c r="P54" s="255"/>
      <c r="Q54" s="255"/>
      <c r="R54" s="255"/>
      <c r="S54" s="255"/>
      <c r="T54" s="255"/>
      <c r="U54" s="255"/>
    </row>
    <row r="55" spans="2:21" x14ac:dyDescent="0.25">
      <c r="B55" s="255"/>
      <c r="C55" s="255"/>
      <c r="D55" s="255"/>
      <c r="E55" s="255"/>
      <c r="F55" s="255"/>
      <c r="G55" s="255"/>
      <c r="H55" s="255"/>
      <c r="I55" s="255"/>
      <c r="J55" s="255"/>
      <c r="K55" s="255"/>
      <c r="L55" s="255"/>
      <c r="M55" s="255"/>
      <c r="N55" s="255"/>
      <c r="O55" s="255"/>
      <c r="P55" s="255"/>
      <c r="Q55" s="255"/>
      <c r="R55" s="255"/>
      <c r="S55" s="255"/>
      <c r="T55" s="255"/>
      <c r="U55" s="255"/>
    </row>
    <row r="56" spans="2:21" x14ac:dyDescent="0.25">
      <c r="B56" s="255"/>
      <c r="C56" s="255"/>
      <c r="D56" s="255"/>
      <c r="E56" s="255"/>
      <c r="F56" s="255"/>
      <c r="G56" s="255"/>
      <c r="H56" s="255"/>
      <c r="I56" s="255"/>
      <c r="J56" s="255"/>
      <c r="K56" s="255"/>
      <c r="L56" s="255"/>
      <c r="M56" s="255"/>
      <c r="N56" s="255"/>
      <c r="O56" s="255"/>
      <c r="P56" s="255"/>
      <c r="Q56" s="255"/>
      <c r="R56" s="255"/>
      <c r="S56" s="255"/>
      <c r="T56" s="255"/>
      <c r="U56" s="255"/>
    </row>
    <row r="57" spans="2:21" x14ac:dyDescent="0.25">
      <c r="B57" s="255"/>
      <c r="C57" s="255"/>
      <c r="D57" s="255"/>
      <c r="E57" s="255"/>
      <c r="F57" s="255"/>
      <c r="G57" s="255"/>
      <c r="H57" s="255"/>
      <c r="I57" s="255"/>
      <c r="J57" s="255"/>
      <c r="K57" s="255"/>
      <c r="L57" s="255"/>
      <c r="M57" s="255"/>
      <c r="N57" s="255"/>
      <c r="O57" s="255"/>
      <c r="P57" s="255"/>
      <c r="Q57" s="255"/>
      <c r="R57" s="255"/>
      <c r="S57" s="255"/>
      <c r="T57" s="255"/>
      <c r="U57" s="255"/>
    </row>
    <row r="58" spans="2:21" x14ac:dyDescent="0.25">
      <c r="B58" s="255"/>
      <c r="C58" s="255"/>
      <c r="D58" s="255"/>
      <c r="E58" s="255"/>
      <c r="F58" s="255"/>
      <c r="G58" s="255"/>
      <c r="H58" s="255"/>
      <c r="I58" s="255"/>
      <c r="J58" s="255"/>
      <c r="K58" s="255"/>
      <c r="L58" s="255"/>
      <c r="M58" s="255"/>
      <c r="N58" s="255"/>
      <c r="O58" s="255"/>
      <c r="P58" s="255"/>
      <c r="Q58" s="255"/>
      <c r="R58" s="255"/>
      <c r="S58" s="255"/>
      <c r="T58" s="255"/>
      <c r="U58" s="255"/>
    </row>
    <row r="59" spans="2:21" x14ac:dyDescent="0.25">
      <c r="B59" s="255"/>
      <c r="C59" s="255"/>
      <c r="D59" s="255"/>
      <c r="E59" s="255"/>
      <c r="F59" s="255"/>
      <c r="G59" s="255"/>
      <c r="H59" s="255"/>
      <c r="I59" s="255"/>
      <c r="J59" s="255"/>
      <c r="K59" s="255"/>
      <c r="L59" s="255"/>
      <c r="M59" s="255"/>
      <c r="N59" s="255"/>
      <c r="O59" s="255"/>
      <c r="P59" s="255"/>
      <c r="Q59" s="255"/>
      <c r="R59" s="255"/>
      <c r="S59" s="255"/>
      <c r="T59" s="255"/>
      <c r="U59" s="255"/>
    </row>
    <row r="60" spans="2:21" x14ac:dyDescent="0.25">
      <c r="B60" s="255"/>
      <c r="C60" s="255"/>
      <c r="D60" s="255"/>
      <c r="E60" s="255"/>
      <c r="F60" s="255"/>
      <c r="G60" s="255"/>
      <c r="H60" s="255"/>
      <c r="I60" s="255"/>
      <c r="J60" s="255"/>
      <c r="K60" s="255"/>
      <c r="L60" s="255"/>
      <c r="M60" s="255"/>
      <c r="N60" s="255"/>
      <c r="O60" s="255"/>
      <c r="P60" s="255"/>
      <c r="Q60" s="255"/>
      <c r="R60" s="255"/>
      <c r="S60" s="255"/>
      <c r="T60" s="255"/>
      <c r="U60" s="255"/>
    </row>
    <row r="61" spans="2:21" x14ac:dyDescent="0.25">
      <c r="B61" s="255"/>
      <c r="C61" s="255"/>
      <c r="D61" s="255"/>
      <c r="E61" s="255"/>
      <c r="F61" s="255"/>
      <c r="G61" s="255"/>
      <c r="H61" s="255"/>
      <c r="I61" s="255"/>
      <c r="J61" s="255"/>
      <c r="K61" s="255"/>
      <c r="L61" s="255"/>
      <c r="M61" s="255"/>
      <c r="N61" s="255"/>
      <c r="O61" s="255"/>
      <c r="P61" s="255"/>
      <c r="Q61" s="255"/>
      <c r="R61" s="255"/>
      <c r="S61" s="255"/>
      <c r="T61" s="255"/>
      <c r="U61" s="255"/>
    </row>
    <row r="62" spans="2:21" x14ac:dyDescent="0.25">
      <c r="B62" s="255"/>
      <c r="C62" s="255"/>
      <c r="D62" s="255"/>
      <c r="E62" s="255"/>
      <c r="F62" s="255"/>
      <c r="G62" s="255"/>
      <c r="H62" s="255"/>
      <c r="I62" s="255"/>
      <c r="J62" s="255"/>
      <c r="K62" s="255"/>
      <c r="L62" s="255"/>
      <c r="M62" s="255"/>
      <c r="N62" s="255"/>
      <c r="O62" s="255"/>
      <c r="P62" s="255"/>
      <c r="Q62" s="255"/>
      <c r="R62" s="255"/>
      <c r="S62" s="255"/>
      <c r="T62" s="255"/>
      <c r="U62" s="255"/>
    </row>
    <row r="63" spans="2:21" x14ac:dyDescent="0.25">
      <c r="B63" s="255"/>
      <c r="C63" s="255"/>
      <c r="D63" s="255"/>
      <c r="E63" s="255"/>
      <c r="F63" s="255"/>
      <c r="G63" s="255"/>
      <c r="H63" s="255"/>
      <c r="I63" s="255"/>
      <c r="J63" s="255"/>
      <c r="K63" s="255"/>
      <c r="L63" s="255"/>
      <c r="M63" s="255"/>
      <c r="N63" s="255"/>
      <c r="O63" s="255"/>
      <c r="P63" s="255"/>
      <c r="Q63" s="255"/>
      <c r="R63" s="255"/>
      <c r="S63" s="255"/>
      <c r="T63" s="255"/>
      <c r="U63" s="255"/>
    </row>
    <row r="64" spans="2:21" x14ac:dyDescent="0.25">
      <c r="B64" s="255"/>
      <c r="C64" s="255"/>
      <c r="D64" s="255"/>
      <c r="E64" s="255"/>
      <c r="F64" s="255"/>
      <c r="G64" s="255"/>
      <c r="H64" s="255"/>
      <c r="I64" s="255"/>
      <c r="J64" s="255"/>
      <c r="K64" s="255"/>
      <c r="L64" s="255"/>
      <c r="M64" s="255"/>
      <c r="N64" s="255"/>
      <c r="O64" s="255"/>
      <c r="P64" s="255"/>
      <c r="Q64" s="255"/>
      <c r="R64" s="255"/>
      <c r="S64" s="255"/>
      <c r="T64" s="255"/>
      <c r="U64" s="255"/>
    </row>
    <row r="65" spans="2:21" x14ac:dyDescent="0.25">
      <c r="B65" s="255"/>
      <c r="C65" s="255"/>
      <c r="D65" s="255"/>
      <c r="E65" s="255"/>
      <c r="F65" s="255"/>
      <c r="G65" s="255"/>
      <c r="H65" s="255"/>
      <c r="I65" s="255"/>
      <c r="J65" s="255"/>
      <c r="K65" s="255"/>
      <c r="L65" s="255"/>
      <c r="M65" s="255"/>
      <c r="N65" s="255"/>
      <c r="O65" s="255"/>
      <c r="P65" s="255"/>
      <c r="Q65" s="255"/>
      <c r="R65" s="255"/>
      <c r="S65" s="255"/>
      <c r="T65" s="255"/>
      <c r="U65" s="255"/>
    </row>
    <row r="66" spans="2:21" x14ac:dyDescent="0.25">
      <c r="B66" s="255"/>
      <c r="C66" s="255"/>
      <c r="D66" s="255"/>
      <c r="E66" s="255"/>
      <c r="F66" s="255"/>
      <c r="G66" s="255"/>
      <c r="H66" s="255"/>
      <c r="I66" s="255"/>
      <c r="J66" s="255"/>
      <c r="K66" s="255"/>
      <c r="L66" s="255"/>
      <c r="M66" s="255"/>
      <c r="N66" s="255"/>
      <c r="O66" s="255"/>
      <c r="P66" s="255"/>
      <c r="Q66" s="255"/>
      <c r="R66" s="255"/>
      <c r="S66" s="255"/>
      <c r="T66" s="255"/>
      <c r="U66" s="255"/>
    </row>
    <row r="67" spans="2:21" x14ac:dyDescent="0.25">
      <c r="B67" s="255"/>
      <c r="C67" s="255"/>
      <c r="D67" s="255"/>
      <c r="E67" s="255"/>
      <c r="F67" s="255"/>
      <c r="G67" s="255"/>
      <c r="H67" s="255"/>
      <c r="I67" s="255"/>
      <c r="J67" s="255"/>
      <c r="K67" s="255"/>
      <c r="L67" s="255"/>
      <c r="M67" s="255"/>
      <c r="N67" s="255"/>
      <c r="O67" s="255"/>
      <c r="P67" s="255"/>
      <c r="Q67" s="255"/>
      <c r="R67" s="255"/>
      <c r="S67" s="255"/>
      <c r="T67" s="255"/>
      <c r="U67" s="255"/>
    </row>
    <row r="68" spans="2:21" x14ac:dyDescent="0.25">
      <c r="B68" s="255"/>
      <c r="C68" s="255"/>
      <c r="D68" s="255"/>
      <c r="E68" s="255"/>
      <c r="F68" s="255"/>
      <c r="G68" s="255"/>
      <c r="H68" s="255"/>
      <c r="I68" s="255"/>
      <c r="J68" s="255"/>
      <c r="K68" s="255"/>
      <c r="L68" s="255"/>
      <c r="M68" s="255"/>
      <c r="N68" s="255"/>
      <c r="O68" s="255"/>
      <c r="P68" s="255"/>
      <c r="Q68" s="255"/>
      <c r="R68" s="255"/>
      <c r="S68" s="255"/>
      <c r="T68" s="255"/>
      <c r="U68" s="255"/>
    </row>
    <row r="69" spans="2:21" x14ac:dyDescent="0.25">
      <c r="B69" s="255"/>
      <c r="C69" s="255"/>
      <c r="D69" s="255"/>
      <c r="E69" s="255"/>
      <c r="F69" s="255"/>
      <c r="G69" s="255"/>
      <c r="H69" s="255"/>
      <c r="I69" s="255"/>
      <c r="J69" s="255"/>
      <c r="K69" s="255"/>
      <c r="L69" s="255"/>
      <c r="M69" s="255"/>
      <c r="N69" s="255"/>
      <c r="O69" s="255"/>
      <c r="P69" s="255"/>
      <c r="Q69" s="255"/>
      <c r="R69" s="255"/>
      <c r="S69" s="255"/>
      <c r="T69" s="255"/>
      <c r="U69" s="255"/>
    </row>
    <row r="70" spans="2:21" x14ac:dyDescent="0.25">
      <c r="B70" s="255"/>
      <c r="C70" s="255"/>
      <c r="D70" s="255"/>
      <c r="E70" s="255"/>
      <c r="F70" s="255"/>
      <c r="G70" s="255"/>
      <c r="H70" s="255"/>
      <c r="I70" s="255"/>
      <c r="J70" s="255"/>
      <c r="K70" s="255"/>
      <c r="L70" s="255"/>
      <c r="M70" s="255"/>
      <c r="N70" s="255"/>
      <c r="O70" s="255"/>
      <c r="P70" s="255"/>
      <c r="Q70" s="255"/>
      <c r="R70" s="255"/>
      <c r="S70" s="255"/>
      <c r="T70" s="255"/>
      <c r="U70" s="255"/>
    </row>
    <row r="71" spans="2:21" x14ac:dyDescent="0.25">
      <c r="B71" s="255"/>
      <c r="C71" s="255"/>
      <c r="D71" s="255"/>
      <c r="E71" s="255"/>
      <c r="F71" s="255"/>
      <c r="G71" s="255"/>
      <c r="H71" s="255"/>
      <c r="I71" s="255"/>
      <c r="J71" s="255"/>
      <c r="K71" s="255"/>
      <c r="L71" s="255"/>
      <c r="M71" s="255"/>
      <c r="N71" s="255"/>
      <c r="O71" s="255"/>
      <c r="P71" s="255"/>
      <c r="Q71" s="255"/>
      <c r="R71" s="255"/>
      <c r="S71" s="255"/>
      <c r="T71" s="255"/>
      <c r="U71" s="255"/>
    </row>
    <row r="72" spans="2:21" x14ac:dyDescent="0.25">
      <c r="B72" s="255"/>
      <c r="C72" s="255"/>
      <c r="D72" s="255"/>
      <c r="E72" s="255"/>
      <c r="F72" s="255"/>
      <c r="G72" s="255"/>
      <c r="H72" s="255"/>
      <c r="I72" s="255"/>
      <c r="J72" s="255"/>
      <c r="K72" s="255"/>
      <c r="L72" s="255"/>
      <c r="M72" s="255"/>
      <c r="N72" s="255"/>
      <c r="O72" s="255"/>
      <c r="P72" s="255"/>
      <c r="Q72" s="255"/>
      <c r="R72" s="255"/>
      <c r="S72" s="255"/>
      <c r="T72" s="255"/>
      <c r="U72" s="255"/>
    </row>
    <row r="73" spans="2:21" x14ac:dyDescent="0.25">
      <c r="B73" s="255"/>
      <c r="C73" s="255"/>
      <c r="D73" s="255"/>
      <c r="E73" s="255"/>
      <c r="F73" s="255"/>
      <c r="G73" s="255"/>
      <c r="H73" s="255"/>
      <c r="I73" s="255"/>
      <c r="J73" s="255"/>
      <c r="K73" s="255"/>
      <c r="L73" s="255"/>
      <c r="M73" s="255"/>
      <c r="N73" s="255"/>
      <c r="O73" s="255"/>
      <c r="P73" s="255"/>
      <c r="Q73" s="255"/>
      <c r="R73" s="255"/>
      <c r="S73" s="255"/>
      <c r="T73" s="255"/>
      <c r="U73" s="255"/>
    </row>
    <row r="74" spans="2:21" x14ac:dyDescent="0.25">
      <c r="B74" s="255"/>
      <c r="C74" s="255"/>
      <c r="D74" s="255"/>
      <c r="E74" s="255"/>
      <c r="F74" s="255"/>
      <c r="G74" s="255"/>
      <c r="H74" s="255"/>
      <c r="I74" s="255"/>
      <c r="J74" s="255"/>
      <c r="K74" s="255"/>
      <c r="L74" s="255"/>
      <c r="M74" s="255"/>
      <c r="N74" s="255"/>
      <c r="O74" s="255"/>
      <c r="P74" s="255"/>
      <c r="Q74" s="255"/>
      <c r="R74" s="255"/>
      <c r="S74" s="255"/>
      <c r="T74" s="255"/>
      <c r="U74" s="255"/>
    </row>
    <row r="75" spans="2:21" x14ac:dyDescent="0.25">
      <c r="B75" s="255"/>
      <c r="C75" s="255"/>
      <c r="D75" s="255"/>
      <c r="E75" s="255"/>
      <c r="F75" s="255"/>
      <c r="G75" s="255"/>
      <c r="H75" s="255"/>
      <c r="I75" s="255"/>
      <c r="J75" s="255"/>
      <c r="K75" s="255"/>
      <c r="L75" s="255"/>
      <c r="M75" s="255"/>
      <c r="N75" s="255"/>
      <c r="O75" s="255"/>
      <c r="P75" s="255"/>
      <c r="Q75" s="255"/>
      <c r="R75" s="255"/>
      <c r="S75" s="255"/>
      <c r="T75" s="255"/>
      <c r="U75" s="255"/>
    </row>
    <row r="76" spans="2:21" x14ac:dyDescent="0.25">
      <c r="B76" s="255"/>
      <c r="C76" s="255"/>
      <c r="D76" s="255"/>
      <c r="E76" s="255"/>
      <c r="F76" s="255"/>
      <c r="G76" s="255"/>
      <c r="H76" s="255"/>
      <c r="I76" s="255"/>
      <c r="J76" s="255"/>
      <c r="K76" s="255"/>
      <c r="L76" s="255"/>
      <c r="M76" s="255"/>
      <c r="N76" s="255"/>
      <c r="O76" s="255"/>
      <c r="P76" s="255"/>
      <c r="Q76" s="255"/>
      <c r="R76" s="255"/>
      <c r="S76" s="255"/>
      <c r="T76" s="255"/>
      <c r="U76" s="255"/>
    </row>
    <row r="77" spans="2:21" x14ac:dyDescent="0.25">
      <c r="B77" s="255"/>
      <c r="C77" s="255"/>
      <c r="D77" s="255"/>
      <c r="E77" s="255"/>
      <c r="F77" s="255"/>
      <c r="G77" s="255"/>
      <c r="H77" s="255"/>
      <c r="I77" s="255"/>
      <c r="J77" s="255"/>
      <c r="K77" s="255"/>
      <c r="L77" s="255"/>
      <c r="M77" s="255"/>
      <c r="N77" s="255"/>
      <c r="O77" s="255"/>
      <c r="P77" s="255"/>
      <c r="Q77" s="255"/>
      <c r="R77" s="255"/>
      <c r="S77" s="255"/>
      <c r="T77" s="255"/>
      <c r="U77" s="255"/>
    </row>
    <row r="78" spans="2:21" x14ac:dyDescent="0.25">
      <c r="B78" s="255"/>
      <c r="C78" s="255"/>
      <c r="D78" s="255"/>
      <c r="E78" s="255"/>
      <c r="F78" s="255"/>
      <c r="G78" s="255"/>
      <c r="H78" s="255"/>
      <c r="I78" s="255"/>
      <c r="J78" s="255"/>
      <c r="K78" s="255"/>
      <c r="L78" s="255"/>
      <c r="M78" s="255"/>
      <c r="N78" s="255"/>
      <c r="O78" s="255"/>
      <c r="P78" s="255"/>
      <c r="Q78" s="255"/>
      <c r="R78" s="255"/>
      <c r="S78" s="255"/>
      <c r="T78" s="255"/>
      <c r="U78" s="255"/>
    </row>
    <row r="79" spans="2:21" x14ac:dyDescent="0.25">
      <c r="B79" s="255"/>
      <c r="C79" s="255"/>
      <c r="D79" s="255"/>
      <c r="E79" s="255"/>
      <c r="F79" s="255"/>
      <c r="G79" s="255"/>
      <c r="H79" s="255"/>
      <c r="I79" s="255"/>
      <c r="J79" s="255"/>
      <c r="K79" s="255"/>
      <c r="L79" s="255"/>
      <c r="M79" s="255"/>
      <c r="N79" s="255"/>
      <c r="O79" s="255"/>
      <c r="P79" s="255"/>
      <c r="Q79" s="255"/>
      <c r="R79" s="255"/>
      <c r="S79" s="255"/>
      <c r="T79" s="255"/>
      <c r="U79" s="255"/>
    </row>
    <row r="80" spans="2:21" x14ac:dyDescent="0.25">
      <c r="B80" s="255"/>
      <c r="C80" s="255"/>
      <c r="D80" s="255"/>
      <c r="E80" s="255"/>
      <c r="F80" s="255"/>
      <c r="G80" s="255"/>
      <c r="H80" s="255"/>
      <c r="I80" s="255"/>
      <c r="J80" s="255"/>
      <c r="K80" s="255"/>
      <c r="L80" s="255"/>
      <c r="M80" s="255"/>
      <c r="N80" s="255"/>
      <c r="O80" s="255"/>
      <c r="P80" s="255"/>
      <c r="Q80" s="255"/>
      <c r="R80" s="255"/>
      <c r="S80" s="255"/>
      <c r="T80" s="255"/>
      <c r="U80" s="255"/>
    </row>
    <row r="81" spans="2:21" x14ac:dyDescent="0.25">
      <c r="B81" s="255"/>
      <c r="C81" s="255"/>
      <c r="D81" s="255"/>
      <c r="E81" s="255"/>
      <c r="F81" s="255"/>
      <c r="G81" s="255"/>
      <c r="H81" s="255"/>
      <c r="I81" s="255"/>
      <c r="J81" s="255"/>
      <c r="K81" s="255"/>
      <c r="L81" s="255"/>
      <c r="M81" s="255"/>
      <c r="N81" s="255"/>
      <c r="O81" s="255"/>
      <c r="P81" s="255"/>
      <c r="Q81" s="255"/>
      <c r="R81" s="255"/>
      <c r="S81" s="255"/>
      <c r="T81" s="255"/>
      <c r="U81" s="255"/>
    </row>
    <row r="82" spans="2:21" x14ac:dyDescent="0.25">
      <c r="B82" s="255"/>
      <c r="C82" s="255"/>
      <c r="D82" s="255"/>
      <c r="E82" s="255"/>
      <c r="F82" s="255"/>
      <c r="G82" s="255"/>
      <c r="H82" s="255"/>
      <c r="I82" s="255"/>
      <c r="J82" s="255"/>
      <c r="K82" s="255"/>
      <c r="L82" s="255"/>
      <c r="M82" s="255"/>
      <c r="N82" s="255"/>
      <c r="O82" s="255"/>
      <c r="P82" s="255"/>
      <c r="Q82" s="255"/>
      <c r="R82" s="255"/>
      <c r="S82" s="255"/>
      <c r="T82" s="255"/>
      <c r="U82" s="255"/>
    </row>
    <row r="83" spans="2:21" x14ac:dyDescent="0.25">
      <c r="B83" s="255"/>
      <c r="C83" s="255"/>
      <c r="D83" s="255"/>
      <c r="E83" s="255"/>
      <c r="F83" s="255"/>
      <c r="G83" s="255"/>
      <c r="H83" s="255"/>
      <c r="I83" s="255"/>
      <c r="J83" s="255"/>
      <c r="K83" s="255"/>
      <c r="L83" s="255"/>
      <c r="M83" s="255"/>
      <c r="N83" s="255"/>
      <c r="O83" s="255"/>
      <c r="P83" s="255"/>
      <c r="Q83" s="255"/>
      <c r="R83" s="255"/>
      <c r="S83" s="255"/>
      <c r="T83" s="255"/>
      <c r="U83" s="255"/>
    </row>
    <row r="84" spans="2:21" x14ac:dyDescent="0.25">
      <c r="B84" s="255"/>
      <c r="C84" s="255"/>
      <c r="D84" s="255"/>
      <c r="E84" s="255"/>
      <c r="F84" s="255"/>
      <c r="G84" s="255"/>
      <c r="H84" s="255"/>
      <c r="I84" s="255"/>
      <c r="J84" s="255"/>
      <c r="K84" s="255"/>
      <c r="L84" s="255"/>
      <c r="M84" s="255"/>
      <c r="N84" s="255"/>
      <c r="O84" s="255"/>
      <c r="P84" s="255"/>
      <c r="Q84" s="255"/>
      <c r="R84" s="255"/>
      <c r="S84" s="255"/>
      <c r="T84" s="255"/>
      <c r="U84" s="255"/>
    </row>
    <row r="85" spans="2:21" x14ac:dyDescent="0.25">
      <c r="B85" s="255"/>
      <c r="C85" s="255"/>
      <c r="D85" s="255"/>
      <c r="E85" s="255"/>
      <c r="F85" s="255"/>
      <c r="G85" s="255"/>
      <c r="H85" s="255"/>
      <c r="I85" s="255"/>
      <c r="J85" s="255"/>
      <c r="K85" s="255"/>
      <c r="L85" s="255"/>
      <c r="M85" s="255"/>
      <c r="N85" s="255"/>
      <c r="O85" s="255"/>
      <c r="P85" s="255"/>
      <c r="Q85" s="255"/>
      <c r="R85" s="255"/>
      <c r="S85" s="255"/>
      <c r="T85" s="255"/>
      <c r="U85" s="255"/>
    </row>
  </sheetData>
  <sheetProtection sheet="1" objects="1" scenarios="1" formatColumns="0" formatRows="0" selectLockedCells="1"/>
  <printOptions horizontalCentered="1"/>
  <pageMargins left="0.25" right="0.25" top="0.75" bottom="0.75" header="0.3" footer="0.3"/>
  <pageSetup scale="51" orientation="portrait" r:id="rId1"/>
  <headerFooter alignWithMargins="0">
    <oddFooter>&amp;C&amp;8Texas AgriLife Extension Service provides this software for educational use, solely on an “AS IS” basis and  assumes no liability for its use.</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R74"/>
  <sheetViews>
    <sheetView showGridLines="0" showRowColHeaders="0" zoomScale="90" zoomScaleNormal="90" workbookViewId="0">
      <pane ySplit="7" topLeftCell="A8" activePane="bottomLeft" state="frozen"/>
      <selection activeCell="B17" sqref="B17"/>
      <selection pane="bottomLeft" activeCell="D52" sqref="D52"/>
    </sheetView>
  </sheetViews>
  <sheetFormatPr defaultRowHeight="13.2" x14ac:dyDescent="0.25"/>
  <cols>
    <col min="1" max="1" width="35.5546875" customWidth="1"/>
    <col min="2" max="8" width="10.5546875" customWidth="1"/>
    <col min="10" max="10" width="10.44140625" bestFit="1"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row>
    <row r="3" spans="1:18" ht="15" x14ac:dyDescent="0.25">
      <c r="A3" s="319" t="s">
        <v>112</v>
      </c>
      <c r="B3" s="319"/>
      <c r="C3" s="319"/>
      <c r="D3" s="319"/>
      <c r="E3" s="319"/>
      <c r="F3" s="319"/>
      <c r="G3" s="319"/>
      <c r="H3" s="319"/>
      <c r="I3" s="4"/>
    </row>
    <row r="4" spans="1:18" ht="15" x14ac:dyDescent="0.25">
      <c r="A4" s="319" t="s">
        <v>269</v>
      </c>
      <c r="B4" s="319"/>
      <c r="C4" s="319"/>
      <c r="D4" s="319"/>
      <c r="E4" s="319"/>
      <c r="F4" s="319"/>
      <c r="G4" s="319"/>
      <c r="H4" s="319"/>
      <c r="I4" s="4"/>
    </row>
    <row r="5" spans="1:18" ht="13.8" x14ac:dyDescent="0.25">
      <c r="A5" s="4"/>
      <c r="B5" s="40"/>
      <c r="C5" s="40"/>
      <c r="D5" s="40"/>
      <c r="E5" s="40"/>
      <c r="G5" s="245"/>
      <c r="H5" s="241" t="s">
        <v>102</v>
      </c>
      <c r="I5" s="246" t="s">
        <v>55</v>
      </c>
      <c r="M5" s="1"/>
      <c r="N5" s="1"/>
    </row>
    <row r="6" spans="1:18" ht="13.8" x14ac:dyDescent="0.25">
      <c r="A6" s="4" t="s">
        <v>3</v>
      </c>
      <c r="B6" s="53" t="s">
        <v>4</v>
      </c>
      <c r="C6" s="119" t="s">
        <v>5</v>
      </c>
      <c r="D6" s="53" t="s">
        <v>6</v>
      </c>
      <c r="E6" s="53" t="s">
        <v>53</v>
      </c>
      <c r="F6" s="244" t="s">
        <v>151</v>
      </c>
      <c r="G6" s="244"/>
      <c r="H6" s="112" t="s">
        <v>55</v>
      </c>
      <c r="I6" s="247" t="s">
        <v>103</v>
      </c>
    </row>
    <row r="7" spans="1:18" x14ac:dyDescent="0.25">
      <c r="A7" s="4"/>
      <c r="B7" s="5"/>
      <c r="C7" s="119"/>
      <c r="D7" s="5"/>
      <c r="E7" s="53" t="s">
        <v>55</v>
      </c>
      <c r="F7" s="53" t="s">
        <v>56</v>
      </c>
      <c r="G7" s="53" t="s">
        <v>52</v>
      </c>
      <c r="H7" s="53" t="s">
        <v>53</v>
      </c>
      <c r="I7" s="4"/>
    </row>
    <row r="8" spans="1:18" x14ac:dyDescent="0.25">
      <c r="A8" s="4" t="s">
        <v>7</v>
      </c>
      <c r="B8" s="5"/>
      <c r="C8" s="119"/>
      <c r="D8" s="5"/>
      <c r="E8" s="5"/>
      <c r="F8" s="5"/>
      <c r="G8" s="5"/>
      <c r="H8" s="5"/>
      <c r="I8" s="4"/>
    </row>
    <row r="9" spans="1:18" x14ac:dyDescent="0.25">
      <c r="A9" s="7" t="s">
        <v>108</v>
      </c>
      <c r="B9" s="47">
        <v>5.5</v>
      </c>
      <c r="C9" s="119" t="s">
        <v>51</v>
      </c>
      <c r="D9" s="55">
        <f>'Universal Input Prices'!B4</f>
        <v>140</v>
      </c>
      <c r="E9" s="34">
        <v>0.33</v>
      </c>
      <c r="F9" s="39">
        <f>D9*B9</f>
        <v>770</v>
      </c>
      <c r="G9" s="39">
        <f>F9*(1-E9)</f>
        <v>515.9</v>
      </c>
      <c r="H9" s="39">
        <f>IF(H6="Cash", D58,F9*E9)</f>
        <v>254.10000000000002</v>
      </c>
      <c r="I9" s="4"/>
    </row>
    <row r="10" spans="1:18" x14ac:dyDescent="0.25">
      <c r="A10" s="7" t="s">
        <v>263</v>
      </c>
      <c r="B10" s="47">
        <v>0</v>
      </c>
      <c r="C10" s="119" t="s">
        <v>264</v>
      </c>
      <c r="D10" s="55">
        <v>1</v>
      </c>
      <c r="E10" s="34">
        <v>0.33</v>
      </c>
      <c r="F10" s="39">
        <f>D10*B10</f>
        <v>0</v>
      </c>
      <c r="G10" s="39">
        <f>F10*(1-E10)</f>
        <v>0</v>
      </c>
      <c r="H10" s="39">
        <f>IF(H7="Cash", D59,F10*E10)</f>
        <v>0</v>
      </c>
      <c r="I10" s="4"/>
    </row>
    <row r="11" spans="1:18" x14ac:dyDescent="0.25">
      <c r="A11" s="9"/>
      <c r="B11" s="21"/>
      <c r="C11" s="264"/>
      <c r="D11" s="8"/>
      <c r="E11" s="36"/>
      <c r="F11" s="39"/>
      <c r="G11" s="39"/>
      <c r="H11" s="39"/>
      <c r="I11" s="4"/>
    </row>
    <row r="12" spans="1:18" x14ac:dyDescent="0.25">
      <c r="A12" s="4" t="s">
        <v>12</v>
      </c>
      <c r="B12" s="5"/>
      <c r="C12" s="119"/>
      <c r="D12" s="8"/>
      <c r="E12" s="36"/>
      <c r="F12" s="39">
        <f>SUM(F8:F11)</f>
        <v>770</v>
      </c>
      <c r="G12" s="39">
        <f>SUM(G8:G11)</f>
        <v>515.9</v>
      </c>
      <c r="H12" s="39">
        <f>SUM(H8:H11)</f>
        <v>254.10000000000002</v>
      </c>
      <c r="I12" s="4"/>
    </row>
    <row r="13" spans="1:18" x14ac:dyDescent="0.25">
      <c r="A13" s="4"/>
      <c r="B13" s="5"/>
      <c r="C13" s="119"/>
      <c r="D13" s="8"/>
      <c r="E13" s="36"/>
      <c r="F13" s="39"/>
      <c r="G13" s="39"/>
      <c r="H13" s="39"/>
      <c r="I13" s="4"/>
    </row>
    <row r="14" spans="1:18" x14ac:dyDescent="0.25">
      <c r="A14" s="4" t="s">
        <v>207</v>
      </c>
      <c r="B14" s="5"/>
      <c r="C14" s="119"/>
      <c r="D14" s="8"/>
      <c r="E14" s="36"/>
      <c r="F14" s="39"/>
      <c r="G14" s="39"/>
      <c r="H14" s="39"/>
      <c r="I14" s="4"/>
    </row>
    <row r="15" spans="1:18" x14ac:dyDescent="0.25">
      <c r="A15" s="4" t="s">
        <v>1</v>
      </c>
      <c r="B15" s="5"/>
      <c r="C15" s="119"/>
      <c r="D15" s="8"/>
      <c r="E15" s="36"/>
      <c r="F15" s="39"/>
      <c r="G15" s="39"/>
      <c r="H15" s="39"/>
      <c r="I15" s="4"/>
    </row>
    <row r="16" spans="1:18" x14ac:dyDescent="0.25">
      <c r="A16" s="7" t="s">
        <v>109</v>
      </c>
      <c r="B16" s="28">
        <v>0</v>
      </c>
      <c r="C16" s="119" t="s">
        <v>79</v>
      </c>
      <c r="D16" s="14">
        <v>5.65</v>
      </c>
      <c r="E16" s="34">
        <v>0</v>
      </c>
      <c r="F16" s="39">
        <f>D16*B16</f>
        <v>0</v>
      </c>
      <c r="G16" s="39">
        <f>F16*(1-E16)</f>
        <v>0</v>
      </c>
      <c r="H16" s="39">
        <f>F16*E16</f>
        <v>0</v>
      </c>
      <c r="I16" s="4"/>
    </row>
    <row r="17" spans="1:9" x14ac:dyDescent="0.25">
      <c r="A17" s="4" t="s">
        <v>0</v>
      </c>
      <c r="B17" s="26"/>
      <c r="C17" s="119"/>
      <c r="D17" s="15"/>
      <c r="E17" s="36"/>
      <c r="F17" s="39"/>
      <c r="G17" s="39"/>
      <c r="H17" s="39"/>
      <c r="I17" s="4"/>
    </row>
    <row r="18" spans="1:9" x14ac:dyDescent="0.25">
      <c r="A18" s="302" t="s">
        <v>136</v>
      </c>
      <c r="B18" s="24">
        <v>60</v>
      </c>
      <c r="C18" s="119" t="s">
        <v>79</v>
      </c>
      <c r="D18" s="54">
        <f>IF(A18="",0,VLOOKUP(A18,'Universal Input Prices'!$A$26:$B$30, 2))</f>
        <v>0.47</v>
      </c>
      <c r="E18" s="34">
        <v>0.33</v>
      </c>
      <c r="F18" s="39">
        <f>D18*B18</f>
        <v>28.2</v>
      </c>
      <c r="G18" s="39">
        <f>F18*(1-E18)</f>
        <v>18.893999999999998</v>
      </c>
      <c r="H18" s="39">
        <f>F18*E18</f>
        <v>9.3060000000000009</v>
      </c>
      <c r="I18" s="4"/>
    </row>
    <row r="19" spans="1:9" x14ac:dyDescent="0.25">
      <c r="A19" s="302"/>
      <c r="B19" s="24">
        <v>0</v>
      </c>
      <c r="C19" s="119" t="s">
        <v>79</v>
      </c>
      <c r="D19" s="54">
        <f>IF(A19="",0,VLOOKUP(A19,'Universal Input Prices'!$A$26:$B$30, 2))</f>
        <v>0</v>
      </c>
      <c r="E19" s="34">
        <v>0</v>
      </c>
      <c r="F19" s="39">
        <f>D19*B19</f>
        <v>0</v>
      </c>
      <c r="G19" s="39">
        <f>F19*(1-E19)</f>
        <v>0</v>
      </c>
      <c r="H19" s="39">
        <f>F19*E19</f>
        <v>0</v>
      </c>
      <c r="I19" s="4"/>
    </row>
    <row r="20" spans="1:9" x14ac:dyDescent="0.25">
      <c r="A20" s="302"/>
      <c r="B20" s="24">
        <v>0</v>
      </c>
      <c r="C20" s="119" t="s">
        <v>79</v>
      </c>
      <c r="D20" s="54">
        <f>IF(A20="",0,VLOOKUP(A20,'Universal Input Prices'!$A$26:$B$30, 2))</f>
        <v>0</v>
      </c>
      <c r="E20" s="34">
        <v>0</v>
      </c>
      <c r="F20" s="39">
        <f>D20*B20</f>
        <v>0</v>
      </c>
      <c r="G20" s="39">
        <f>F20*(1-E20)</f>
        <v>0</v>
      </c>
      <c r="H20" s="39">
        <f>F20*E20</f>
        <v>0</v>
      </c>
      <c r="I20" s="4"/>
    </row>
    <row r="21" spans="1:9" x14ac:dyDescent="0.25">
      <c r="A21" s="7" t="s">
        <v>110</v>
      </c>
      <c r="B21" s="24">
        <v>0</v>
      </c>
      <c r="C21" s="119" t="s">
        <v>79</v>
      </c>
      <c r="D21" s="14">
        <v>0.12</v>
      </c>
      <c r="E21" s="34">
        <v>0.33</v>
      </c>
      <c r="F21" s="39">
        <f t="shared" ref="F21:F36" si="0">D21*B21</f>
        <v>0</v>
      </c>
      <c r="G21" s="39">
        <f t="shared" ref="G21:G36" si="1">F21*(1-E21)</f>
        <v>0</v>
      </c>
      <c r="H21" s="39">
        <f t="shared" ref="H21:H36" si="2">F21*E21</f>
        <v>0</v>
      </c>
      <c r="I21" s="4"/>
    </row>
    <row r="22" spans="1:9" x14ac:dyDescent="0.25">
      <c r="A22" s="4" t="s">
        <v>15</v>
      </c>
      <c r="B22" s="27"/>
      <c r="C22" s="119"/>
      <c r="D22" s="8"/>
      <c r="E22" s="36"/>
      <c r="F22" s="39"/>
      <c r="G22" s="39"/>
      <c r="H22" s="39"/>
      <c r="I22" s="4"/>
    </row>
    <row r="23" spans="1:9" x14ac:dyDescent="0.25">
      <c r="A23" s="7" t="s">
        <v>236</v>
      </c>
      <c r="B23" s="24">
        <v>1</v>
      </c>
      <c r="C23" s="119" t="s">
        <v>14</v>
      </c>
      <c r="D23" s="14">
        <v>22</v>
      </c>
      <c r="E23" s="34">
        <v>0.33</v>
      </c>
      <c r="F23" s="39">
        <f>D23*B23</f>
        <v>22</v>
      </c>
      <c r="G23" s="39">
        <f>F23*(1-E23)</f>
        <v>14.739999999999998</v>
      </c>
      <c r="H23" s="39">
        <f>F23*E23</f>
        <v>7.2600000000000007</v>
      </c>
      <c r="I23" s="4"/>
    </row>
    <row r="24" spans="1:9" x14ac:dyDescent="0.25">
      <c r="A24" s="7" t="s">
        <v>43</v>
      </c>
      <c r="B24" s="24">
        <v>1</v>
      </c>
      <c r="C24" s="119" t="s">
        <v>14</v>
      </c>
      <c r="D24" s="14">
        <v>5</v>
      </c>
      <c r="E24" s="34">
        <v>0.33</v>
      </c>
      <c r="F24" s="39">
        <f>D24*B24</f>
        <v>5</v>
      </c>
      <c r="G24" s="39">
        <f>F24*(1-E24)</f>
        <v>3.3499999999999996</v>
      </c>
      <c r="H24" s="39">
        <f>F24*E24</f>
        <v>1.6500000000000001</v>
      </c>
      <c r="I24" s="4"/>
    </row>
    <row r="25" spans="1:9" x14ac:dyDescent="0.25">
      <c r="A25" s="7" t="s">
        <v>237</v>
      </c>
      <c r="B25" s="24">
        <v>1</v>
      </c>
      <c r="C25" s="119" t="s">
        <v>14</v>
      </c>
      <c r="D25" s="14">
        <v>10</v>
      </c>
      <c r="E25" s="34">
        <v>0.33</v>
      </c>
      <c r="F25" s="39">
        <f>D25*B25</f>
        <v>10</v>
      </c>
      <c r="G25" s="39">
        <f>F25*(1-E25)</f>
        <v>6.6999999999999993</v>
      </c>
      <c r="H25" s="39">
        <f>F25*E25</f>
        <v>3.3000000000000003</v>
      </c>
      <c r="I25" s="4"/>
    </row>
    <row r="26" spans="1:9" x14ac:dyDescent="0.25">
      <c r="A26" s="7" t="s">
        <v>143</v>
      </c>
      <c r="B26" s="48">
        <f>$B$9</f>
        <v>5.5</v>
      </c>
      <c r="C26" s="119" t="s">
        <v>51</v>
      </c>
      <c r="D26" s="14">
        <v>40</v>
      </c>
      <c r="E26" s="34">
        <v>0</v>
      </c>
      <c r="F26" s="39">
        <f>D26*B26</f>
        <v>220</v>
      </c>
      <c r="G26" s="39">
        <f>F26*(1-E26)</f>
        <v>220</v>
      </c>
      <c r="H26" s="39">
        <f>F26*E26</f>
        <v>0</v>
      </c>
      <c r="I26" s="4"/>
    </row>
    <row r="27" spans="1:9" x14ac:dyDescent="0.25">
      <c r="A27" s="7" t="s">
        <v>49</v>
      </c>
      <c r="B27" s="24">
        <v>1</v>
      </c>
      <c r="C27" s="119" t="s">
        <v>14</v>
      </c>
      <c r="D27" s="14">
        <v>0</v>
      </c>
      <c r="E27" s="34">
        <v>0</v>
      </c>
      <c r="F27" s="39">
        <f>D27*B27</f>
        <v>0</v>
      </c>
      <c r="G27" s="39">
        <f>F27*(1-E27)</f>
        <v>0</v>
      </c>
      <c r="H27" s="39">
        <f>F27*E27</f>
        <v>0</v>
      </c>
      <c r="I27" s="4"/>
    </row>
    <row r="28" spans="1:9" x14ac:dyDescent="0.25">
      <c r="A28" s="2" t="s">
        <v>21</v>
      </c>
      <c r="B28" s="24">
        <v>1</v>
      </c>
      <c r="C28" s="119" t="s">
        <v>14</v>
      </c>
      <c r="D28" s="14">
        <v>0</v>
      </c>
      <c r="E28" s="34">
        <v>0</v>
      </c>
      <c r="F28" s="39">
        <f t="shared" si="0"/>
        <v>0</v>
      </c>
      <c r="G28" s="39">
        <f t="shared" si="1"/>
        <v>0</v>
      </c>
      <c r="H28" s="39">
        <f t="shared" si="2"/>
        <v>0</v>
      </c>
      <c r="I28" s="4"/>
    </row>
    <row r="29" spans="1:9" x14ac:dyDescent="0.25">
      <c r="A29" s="16" t="s">
        <v>40</v>
      </c>
      <c r="B29" s="24">
        <v>1</v>
      </c>
      <c r="C29" s="265" t="s">
        <v>14</v>
      </c>
      <c r="D29" s="14">
        <v>0</v>
      </c>
      <c r="E29" s="34">
        <v>0</v>
      </c>
      <c r="F29" s="39">
        <f t="shared" si="0"/>
        <v>0</v>
      </c>
      <c r="G29" s="39">
        <f t="shared" si="1"/>
        <v>0</v>
      </c>
      <c r="H29" s="39">
        <f t="shared" si="2"/>
        <v>0</v>
      </c>
      <c r="I29" s="4"/>
    </row>
    <row r="30" spans="1:9" x14ac:dyDescent="0.25">
      <c r="A30" s="16" t="s">
        <v>40</v>
      </c>
      <c r="B30" s="24">
        <v>1</v>
      </c>
      <c r="C30" s="265" t="s">
        <v>14</v>
      </c>
      <c r="D30" s="14">
        <v>0</v>
      </c>
      <c r="E30" s="34">
        <v>0</v>
      </c>
      <c r="F30" s="39">
        <f t="shared" si="0"/>
        <v>0</v>
      </c>
      <c r="G30" s="39">
        <f t="shared" si="1"/>
        <v>0</v>
      </c>
      <c r="H30" s="39">
        <f t="shared" si="2"/>
        <v>0</v>
      </c>
      <c r="I30" s="4"/>
    </row>
    <row r="31" spans="1:9" x14ac:dyDescent="0.25">
      <c r="A31" s="16" t="s">
        <v>40</v>
      </c>
      <c r="B31" s="24">
        <v>1</v>
      </c>
      <c r="C31" s="265" t="s">
        <v>14</v>
      </c>
      <c r="D31" s="14">
        <v>0</v>
      </c>
      <c r="E31" s="34">
        <v>0</v>
      </c>
      <c r="F31" s="39">
        <f t="shared" si="0"/>
        <v>0</v>
      </c>
      <c r="G31" s="39">
        <f t="shared" si="1"/>
        <v>0</v>
      </c>
      <c r="H31" s="39">
        <f t="shared" si="2"/>
        <v>0</v>
      </c>
      <c r="I31" s="4"/>
    </row>
    <row r="32" spans="1:9" x14ac:dyDescent="0.25">
      <c r="A32" s="4" t="s">
        <v>22</v>
      </c>
      <c r="B32" s="24">
        <v>1</v>
      </c>
      <c r="C32" s="119" t="s">
        <v>14</v>
      </c>
      <c r="D32" s="14">
        <v>0</v>
      </c>
      <c r="E32" s="34">
        <v>0</v>
      </c>
      <c r="F32" s="39">
        <f t="shared" si="0"/>
        <v>0</v>
      </c>
      <c r="G32" s="39">
        <f t="shared" si="1"/>
        <v>0</v>
      </c>
      <c r="H32" s="39">
        <f t="shared" si="2"/>
        <v>0</v>
      </c>
      <c r="I32" s="4"/>
    </row>
    <row r="33" spans="1:9" x14ac:dyDescent="0.25">
      <c r="A33" s="290" t="s">
        <v>140</v>
      </c>
      <c r="B33" s="28">
        <v>0</v>
      </c>
      <c r="C33" s="119" t="s">
        <v>48</v>
      </c>
      <c r="D33" s="55">
        <f>'Universal Input Prices'!$B$31</f>
        <v>12.45</v>
      </c>
      <c r="E33" s="34">
        <v>0</v>
      </c>
      <c r="F33" s="39">
        <f t="shared" si="0"/>
        <v>0</v>
      </c>
      <c r="G33" s="39">
        <f t="shared" si="1"/>
        <v>0</v>
      </c>
      <c r="H33" s="39">
        <f t="shared" si="2"/>
        <v>0</v>
      </c>
      <c r="I33" s="4"/>
    </row>
    <row r="34" spans="1:9" x14ac:dyDescent="0.25">
      <c r="A34" s="4" t="s">
        <v>24</v>
      </c>
      <c r="B34" s="28">
        <v>1.536</v>
      </c>
      <c r="C34" s="119" t="s">
        <v>23</v>
      </c>
      <c r="D34" s="55">
        <f>'Universal Input Prices'!$B$31</f>
        <v>12.45</v>
      </c>
      <c r="E34" s="34">
        <v>0</v>
      </c>
      <c r="F34" s="39">
        <f t="shared" si="0"/>
        <v>19.123200000000001</v>
      </c>
      <c r="G34" s="39">
        <f t="shared" si="1"/>
        <v>19.123200000000001</v>
      </c>
      <c r="H34" s="39">
        <f t="shared" si="2"/>
        <v>0</v>
      </c>
      <c r="I34" s="4"/>
    </row>
    <row r="35" spans="1:9" x14ac:dyDescent="0.25">
      <c r="A35" s="4" t="s">
        <v>25</v>
      </c>
      <c r="B35" s="28">
        <v>0</v>
      </c>
      <c r="C35" s="119" t="s">
        <v>26</v>
      </c>
      <c r="D35" s="55">
        <f>'Universal Input Prices'!$B$32</f>
        <v>1.81</v>
      </c>
      <c r="E35" s="34">
        <v>0</v>
      </c>
      <c r="F35" s="39">
        <f t="shared" si="0"/>
        <v>0</v>
      </c>
      <c r="G35" s="39">
        <f t="shared" si="1"/>
        <v>0</v>
      </c>
      <c r="H35" s="39">
        <f t="shared" si="2"/>
        <v>0</v>
      </c>
      <c r="I35" s="4"/>
    </row>
    <row r="36" spans="1:9" x14ac:dyDescent="0.25">
      <c r="A36" s="4" t="s">
        <v>27</v>
      </c>
      <c r="B36" s="28">
        <v>2.0492300000000001</v>
      </c>
      <c r="C36" s="119" t="s">
        <v>26</v>
      </c>
      <c r="D36" s="55">
        <f>'Universal Input Prices'!$B$33</f>
        <v>1.9259999999999999</v>
      </c>
      <c r="E36" s="34">
        <v>0</v>
      </c>
      <c r="F36" s="39">
        <f t="shared" si="0"/>
        <v>3.9468169799999999</v>
      </c>
      <c r="G36" s="39">
        <f t="shared" si="1"/>
        <v>3.9468169799999999</v>
      </c>
      <c r="H36" s="39">
        <f t="shared" si="2"/>
        <v>0</v>
      </c>
      <c r="I36" s="4"/>
    </row>
    <row r="37" spans="1:9" x14ac:dyDescent="0.25">
      <c r="A37" s="4" t="s">
        <v>28</v>
      </c>
      <c r="B37" s="28">
        <v>24</v>
      </c>
      <c r="C37" s="119" t="s">
        <v>29</v>
      </c>
      <c r="D37" s="55">
        <f>'Universal Input Prices'!$B$34</f>
        <v>3.6</v>
      </c>
      <c r="E37" s="34">
        <v>0.33</v>
      </c>
      <c r="F37" s="39">
        <f>D37*B37</f>
        <v>86.4</v>
      </c>
      <c r="G37" s="39">
        <f>F37*(1-E37)</f>
        <v>57.887999999999998</v>
      </c>
      <c r="H37" s="39">
        <f>F37*E37</f>
        <v>28.512000000000004</v>
      </c>
      <c r="I37" s="4"/>
    </row>
    <row r="38" spans="1:9" hidden="1" x14ac:dyDescent="0.25">
      <c r="A38" s="4" t="s">
        <v>248</v>
      </c>
      <c r="B38" s="28">
        <v>56.57</v>
      </c>
      <c r="C38" s="119"/>
      <c r="D38" s="55"/>
      <c r="E38" s="34"/>
      <c r="F38" s="39"/>
      <c r="G38" s="39"/>
      <c r="H38" s="39"/>
      <c r="I38" s="4"/>
    </row>
    <row r="39" spans="1:9" hidden="1" x14ac:dyDescent="0.25">
      <c r="A39" s="4" t="s">
        <v>249</v>
      </c>
      <c r="B39" s="48">
        <f>B37*18.85694/B38</f>
        <v>8.0001159625243066</v>
      </c>
      <c r="C39" s="119"/>
      <c r="D39" s="55"/>
      <c r="E39" s="34"/>
      <c r="F39" s="39"/>
      <c r="G39" s="39"/>
      <c r="H39" s="39"/>
      <c r="I39" s="4"/>
    </row>
    <row r="40" spans="1:9" x14ac:dyDescent="0.25">
      <c r="A40" s="4" t="s">
        <v>30</v>
      </c>
      <c r="B40" s="5"/>
      <c r="C40" s="119"/>
      <c r="D40" s="15"/>
      <c r="E40" s="36"/>
      <c r="F40" s="39"/>
      <c r="G40" s="39"/>
      <c r="H40" s="39"/>
      <c r="I40" s="4"/>
    </row>
    <row r="41" spans="1:9" x14ac:dyDescent="0.25">
      <c r="A41" s="7" t="s">
        <v>31</v>
      </c>
      <c r="B41" s="5">
        <v>1</v>
      </c>
      <c r="C41" s="119" t="s">
        <v>14</v>
      </c>
      <c r="D41" s="14">
        <v>0</v>
      </c>
      <c r="E41" s="34">
        <v>0</v>
      </c>
      <c r="F41" s="39">
        <f>D41*B41</f>
        <v>0</v>
      </c>
      <c r="G41" s="39">
        <f>F41*(1-E41)</f>
        <v>0</v>
      </c>
      <c r="H41" s="39">
        <f>F41*E41</f>
        <v>0</v>
      </c>
      <c r="I41" s="4"/>
    </row>
    <row r="42" spans="1:9" x14ac:dyDescent="0.25">
      <c r="A42" s="7" t="s">
        <v>2</v>
      </c>
      <c r="B42" s="5">
        <v>1</v>
      </c>
      <c r="C42" s="119" t="s">
        <v>14</v>
      </c>
      <c r="D42" s="14">
        <v>0</v>
      </c>
      <c r="E42" s="34">
        <v>0</v>
      </c>
      <c r="F42" s="39">
        <f>D42*B42</f>
        <v>0</v>
      </c>
      <c r="G42" s="39">
        <f>F42*(1-E42)</f>
        <v>0</v>
      </c>
      <c r="H42" s="39">
        <f>F42*E42</f>
        <v>0</v>
      </c>
      <c r="I42" s="4"/>
    </row>
    <row r="43" spans="1:9" x14ac:dyDescent="0.25">
      <c r="A43" s="7" t="s">
        <v>32</v>
      </c>
      <c r="B43" s="5">
        <f>B37</f>
        <v>24</v>
      </c>
      <c r="C43" s="119" t="s">
        <v>29</v>
      </c>
      <c r="D43" s="14">
        <v>4.04</v>
      </c>
      <c r="E43" s="34">
        <v>0</v>
      </c>
      <c r="F43" s="39">
        <f>D43*B43</f>
        <v>96.960000000000008</v>
      </c>
      <c r="G43" s="39">
        <f>F43*(1-E43)</f>
        <v>96.960000000000008</v>
      </c>
      <c r="H43" s="39">
        <f>F43*E43</f>
        <v>0</v>
      </c>
      <c r="I43" s="4"/>
    </row>
    <row r="44" spans="1:9" x14ac:dyDescent="0.25">
      <c r="A44" s="7" t="s">
        <v>204</v>
      </c>
      <c r="B44" s="5">
        <v>1</v>
      </c>
      <c r="C44" s="119" t="s">
        <v>14</v>
      </c>
      <c r="D44" s="14">
        <v>0</v>
      </c>
      <c r="E44" s="34">
        <v>1</v>
      </c>
      <c r="F44" s="39">
        <f>D44*B44</f>
        <v>0</v>
      </c>
      <c r="G44" s="39">
        <f>F44*(1-E44)</f>
        <v>0</v>
      </c>
      <c r="H44" s="39">
        <f>F44*E44</f>
        <v>0</v>
      </c>
      <c r="I44" s="4"/>
    </row>
    <row r="45" spans="1:9" x14ac:dyDescent="0.25">
      <c r="A45" s="7" t="s">
        <v>33</v>
      </c>
      <c r="B45" s="5">
        <v>1</v>
      </c>
      <c r="C45" s="119" t="s">
        <v>14</v>
      </c>
      <c r="D45" s="14">
        <v>2.5099999999999998</v>
      </c>
      <c r="E45" s="34">
        <v>0</v>
      </c>
      <c r="F45" s="39">
        <f>D45*B45</f>
        <v>2.5099999999999998</v>
      </c>
      <c r="G45" s="39">
        <f>F45*(1-E45)</f>
        <v>2.5099999999999998</v>
      </c>
      <c r="H45" s="39">
        <f>F45*E45</f>
        <v>0</v>
      </c>
      <c r="I45" s="4"/>
    </row>
    <row r="46" spans="1:9" x14ac:dyDescent="0.25">
      <c r="A46" s="4" t="s">
        <v>34</v>
      </c>
      <c r="B46" s="89">
        <f>'Universal Input Prices'!$B$35</f>
        <v>5.3999999999999999E-2</v>
      </c>
      <c r="C46" s="119"/>
      <c r="D46" s="22"/>
      <c r="E46" s="36"/>
      <c r="F46" s="158">
        <f>(SUM(F16:F25,F27:F45))*$B46/3.1</f>
        <v>4.7753422312645171</v>
      </c>
      <c r="G46" s="158">
        <f t="shared" ref="G46:H46" si="3">(SUM(G16:G25,G27:G45))*$B46/2</f>
        <v>6.0510244584599997</v>
      </c>
      <c r="H46" s="158">
        <f t="shared" si="3"/>
        <v>1.3507560000000001</v>
      </c>
      <c r="I46" s="4"/>
    </row>
    <row r="47" spans="1:9" x14ac:dyDescent="0.25">
      <c r="A47" s="4"/>
      <c r="B47" s="56"/>
      <c r="C47" s="119"/>
      <c r="D47" s="3"/>
      <c r="E47" s="36"/>
      <c r="F47" s="39"/>
      <c r="G47" s="39"/>
      <c r="H47" s="39"/>
      <c r="I47" s="4"/>
    </row>
    <row r="48" spans="1:9" x14ac:dyDescent="0.25">
      <c r="A48" s="4" t="s">
        <v>205</v>
      </c>
      <c r="B48" s="10"/>
      <c r="C48" s="119"/>
      <c r="D48" s="8"/>
      <c r="E48" s="38"/>
      <c r="F48" s="39">
        <f>SUM(F16:F47)</f>
        <v>498.91535921126456</v>
      </c>
      <c r="G48" s="39">
        <f>SUM(G16:G46)</f>
        <v>450.16304143845991</v>
      </c>
      <c r="H48" s="39">
        <f>SUM(H16:H46)</f>
        <v>51.378756000000003</v>
      </c>
      <c r="I48" s="4"/>
    </row>
    <row r="49" spans="1:10" ht="13.8" x14ac:dyDescent="0.25">
      <c r="A49" s="12" t="s">
        <v>206</v>
      </c>
      <c r="B49" s="10"/>
      <c r="C49" s="119"/>
      <c r="D49" s="8"/>
      <c r="E49" s="35"/>
      <c r="F49" s="72">
        <f>F12-F48</f>
        <v>271.08464078873544</v>
      </c>
      <c r="G49" s="72">
        <f>G12-G48</f>
        <v>65.736958561540064</v>
      </c>
      <c r="H49" s="72">
        <f>H12-H48</f>
        <v>202.72124400000001</v>
      </c>
      <c r="I49" s="4"/>
    </row>
    <row r="50" spans="1:10" x14ac:dyDescent="0.25">
      <c r="A50" s="4"/>
      <c r="B50" s="10"/>
      <c r="C50" s="119"/>
      <c r="D50" s="8"/>
      <c r="E50" s="45"/>
      <c r="F50" s="39"/>
      <c r="G50" s="39"/>
      <c r="H50" s="39"/>
      <c r="I50" s="4"/>
    </row>
    <row r="51" spans="1:10" x14ac:dyDescent="0.25">
      <c r="A51" s="4" t="s">
        <v>208</v>
      </c>
      <c r="B51" s="10"/>
      <c r="C51" s="119"/>
      <c r="D51" s="8"/>
      <c r="E51" s="36"/>
      <c r="F51" s="39"/>
      <c r="G51" s="39"/>
      <c r="H51" s="39"/>
      <c r="I51" s="4"/>
    </row>
    <row r="52" spans="1:10" x14ac:dyDescent="0.25">
      <c r="A52" s="7" t="s">
        <v>31</v>
      </c>
      <c r="B52" s="5">
        <v>1</v>
      </c>
      <c r="C52" s="119" t="s">
        <v>14</v>
      </c>
      <c r="D52" s="14">
        <v>0</v>
      </c>
      <c r="E52" s="34">
        <v>0</v>
      </c>
      <c r="F52" s="39">
        <f t="shared" ref="F52:F60" si="4">D52*B52</f>
        <v>0</v>
      </c>
      <c r="G52" s="39">
        <f t="shared" ref="G52:G60" si="5">F52*(1-E52)</f>
        <v>0</v>
      </c>
      <c r="H52" s="39">
        <f t="shared" ref="H52:H60" si="6">F52*E52</f>
        <v>0</v>
      </c>
      <c r="I52" s="4"/>
      <c r="J52" s="4"/>
    </row>
    <row r="53" spans="1:10" x14ac:dyDescent="0.25">
      <c r="A53" s="7" t="s">
        <v>2</v>
      </c>
      <c r="B53" s="5">
        <v>1</v>
      </c>
      <c r="C53" s="119" t="s">
        <v>14</v>
      </c>
      <c r="D53" s="14">
        <v>0</v>
      </c>
      <c r="E53" s="34">
        <v>0</v>
      </c>
      <c r="F53" s="39">
        <f t="shared" si="4"/>
        <v>0</v>
      </c>
      <c r="G53" s="39">
        <f t="shared" si="5"/>
        <v>0</v>
      </c>
      <c r="H53" s="39">
        <f t="shared" si="6"/>
        <v>0</v>
      </c>
      <c r="I53" s="4"/>
      <c r="J53" s="74"/>
    </row>
    <row r="54" spans="1:10" x14ac:dyDescent="0.25">
      <c r="A54" s="2" t="s">
        <v>273</v>
      </c>
      <c r="B54" s="5">
        <v>1</v>
      </c>
      <c r="C54" s="119" t="s">
        <v>14</v>
      </c>
      <c r="D54" s="14">
        <v>47.34</v>
      </c>
      <c r="E54" s="34">
        <v>0</v>
      </c>
      <c r="F54" s="39">
        <f t="shared" si="4"/>
        <v>47.34</v>
      </c>
      <c r="G54" s="39">
        <f t="shared" si="5"/>
        <v>47.34</v>
      </c>
      <c r="H54" s="39">
        <f t="shared" si="6"/>
        <v>0</v>
      </c>
      <c r="I54" s="4"/>
      <c r="J54" s="74"/>
    </row>
    <row r="55" spans="1:10" x14ac:dyDescent="0.25">
      <c r="A55" s="7" t="s">
        <v>204</v>
      </c>
      <c r="B55" s="5">
        <v>1</v>
      </c>
      <c r="C55" s="119" t="s">
        <v>14</v>
      </c>
      <c r="D55" s="14">
        <v>0</v>
      </c>
      <c r="E55" s="34">
        <v>1</v>
      </c>
      <c r="F55" s="39">
        <f t="shared" si="4"/>
        <v>0</v>
      </c>
      <c r="G55" s="39">
        <f t="shared" si="5"/>
        <v>0</v>
      </c>
      <c r="H55" s="39">
        <f t="shared" si="6"/>
        <v>0</v>
      </c>
      <c r="I55" s="4"/>
    </row>
    <row r="56" spans="1:10" x14ac:dyDescent="0.25">
      <c r="A56" s="7" t="s">
        <v>33</v>
      </c>
      <c r="B56" s="5">
        <v>1</v>
      </c>
      <c r="C56" s="119" t="s">
        <v>14</v>
      </c>
      <c r="D56" s="14">
        <v>3.66</v>
      </c>
      <c r="E56" s="34">
        <v>0</v>
      </c>
      <c r="F56" s="39">
        <f t="shared" si="4"/>
        <v>3.66</v>
      </c>
      <c r="G56" s="39">
        <f t="shared" si="5"/>
        <v>3.66</v>
      </c>
      <c r="H56" s="39">
        <f t="shared" si="6"/>
        <v>0</v>
      </c>
      <c r="I56" s="4"/>
    </row>
    <row r="57" spans="1:10" x14ac:dyDescent="0.25">
      <c r="A57" s="7" t="s">
        <v>35</v>
      </c>
      <c r="B57" s="5">
        <v>1</v>
      </c>
      <c r="C57" s="119" t="s">
        <v>14</v>
      </c>
      <c r="D57" s="14">
        <v>0</v>
      </c>
      <c r="E57" s="34">
        <v>0</v>
      </c>
      <c r="F57" s="39">
        <f t="shared" si="4"/>
        <v>0</v>
      </c>
      <c r="G57" s="39">
        <f t="shared" si="5"/>
        <v>0</v>
      </c>
      <c r="H57" s="39">
        <f t="shared" si="6"/>
        <v>0</v>
      </c>
      <c r="I57" s="4"/>
    </row>
    <row r="58" spans="1:10" x14ac:dyDescent="0.25">
      <c r="A58" s="2" t="s">
        <v>272</v>
      </c>
      <c r="B58" s="5">
        <v>1</v>
      </c>
      <c r="C58" s="119" t="s">
        <v>14</v>
      </c>
      <c r="D58" s="14">
        <v>32.299999999999997</v>
      </c>
      <c r="E58" s="34">
        <v>0</v>
      </c>
      <c r="F58" s="39">
        <f t="shared" si="4"/>
        <v>32.299999999999997</v>
      </c>
      <c r="G58" s="39">
        <f t="shared" si="5"/>
        <v>32.299999999999997</v>
      </c>
      <c r="H58" s="39">
        <f t="shared" si="6"/>
        <v>0</v>
      </c>
      <c r="I58" s="4"/>
    </row>
    <row r="59" spans="1:10" x14ac:dyDescent="0.25">
      <c r="A59" s="7" t="s">
        <v>36</v>
      </c>
      <c r="B59" s="43">
        <v>1</v>
      </c>
      <c r="C59" s="119" t="s">
        <v>14</v>
      </c>
      <c r="D59" s="14">
        <v>120</v>
      </c>
      <c r="E59" s="34">
        <v>1</v>
      </c>
      <c r="F59" s="39">
        <f t="shared" si="4"/>
        <v>120</v>
      </c>
      <c r="G59" s="39">
        <f>IF($H$6="Cash",D59,F59*(1-E59))</f>
        <v>0</v>
      </c>
      <c r="H59" s="39">
        <f>IF($H$6="Cash",0,F59*E59)</f>
        <v>120</v>
      </c>
      <c r="I59" s="4"/>
    </row>
    <row r="60" spans="1:10" x14ac:dyDescent="0.25">
      <c r="A60" s="7" t="s">
        <v>42</v>
      </c>
      <c r="B60" s="43">
        <v>1</v>
      </c>
      <c r="C60" s="119" t="s">
        <v>14</v>
      </c>
      <c r="D60" s="14">
        <v>0</v>
      </c>
      <c r="E60" s="34">
        <v>1</v>
      </c>
      <c r="F60" s="39">
        <f t="shared" si="4"/>
        <v>0</v>
      </c>
      <c r="G60" s="39">
        <f t="shared" si="5"/>
        <v>0</v>
      </c>
      <c r="H60" s="39">
        <f t="shared" si="6"/>
        <v>0</v>
      </c>
      <c r="I60" s="4"/>
    </row>
    <row r="61" spans="1:10" x14ac:dyDescent="0.25">
      <c r="A61" s="7" t="s">
        <v>111</v>
      </c>
      <c r="B61" s="43">
        <v>1</v>
      </c>
      <c r="C61" s="119" t="s">
        <v>14</v>
      </c>
      <c r="D61" s="14">
        <v>72</v>
      </c>
      <c r="E61" s="34">
        <v>0</v>
      </c>
      <c r="F61" s="39">
        <f>B61*D61</f>
        <v>72</v>
      </c>
      <c r="G61" s="39">
        <f>F61*(1-E61)</f>
        <v>72</v>
      </c>
      <c r="H61" s="39">
        <f>F61*E61</f>
        <v>0</v>
      </c>
      <c r="I61" s="4"/>
    </row>
    <row r="62" spans="1:10" x14ac:dyDescent="0.25">
      <c r="A62" s="4" t="s">
        <v>209</v>
      </c>
      <c r="B62" s="5"/>
      <c r="C62" s="119"/>
      <c r="D62" s="10"/>
      <c r="E62" s="73"/>
      <c r="F62" s="82">
        <f>SUM(F52:F61)</f>
        <v>275.3</v>
      </c>
      <c r="G62" s="82">
        <f>SUM(G52:G61)</f>
        <v>155.30000000000001</v>
      </c>
      <c r="H62" s="82">
        <f>SUM(H52:H61)</f>
        <v>120</v>
      </c>
      <c r="I62" s="4"/>
    </row>
    <row r="63" spans="1:10" x14ac:dyDescent="0.25">
      <c r="A63" s="4" t="s">
        <v>210</v>
      </c>
      <c r="B63" s="5"/>
      <c r="C63" s="119"/>
      <c r="D63" s="10"/>
      <c r="E63" s="36"/>
      <c r="F63" s="82">
        <f>F48+F62</f>
        <v>774.21535921126451</v>
      </c>
      <c r="G63" s="82">
        <f>G48+G62</f>
        <v>605.46304143845987</v>
      </c>
      <c r="H63" s="82">
        <f>H48+H62</f>
        <v>171.37875600000001</v>
      </c>
      <c r="I63" s="4"/>
    </row>
    <row r="64" spans="1:10" ht="13.8" x14ac:dyDescent="0.25">
      <c r="A64" s="12" t="s">
        <v>211</v>
      </c>
      <c r="B64" s="31"/>
      <c r="C64" s="141"/>
      <c r="D64" s="30"/>
      <c r="E64" s="36"/>
      <c r="F64" s="72">
        <f>F12-F63</f>
        <v>-4.2153592112645129</v>
      </c>
      <c r="G64" s="72">
        <f>G12-G63</f>
        <v>-89.563041438459891</v>
      </c>
      <c r="H64" s="72">
        <f>H12-H63</f>
        <v>82.721244000000013</v>
      </c>
      <c r="I64" s="4"/>
    </row>
    <row r="65" spans="1:9" x14ac:dyDescent="0.25">
      <c r="A65" s="4"/>
      <c r="B65" s="5"/>
      <c r="C65" s="119"/>
      <c r="D65" s="10"/>
      <c r="E65" s="36"/>
      <c r="F65" s="42"/>
      <c r="G65" s="4"/>
      <c r="H65" s="4"/>
      <c r="I65" s="4"/>
    </row>
    <row r="66" spans="1:9" ht="13.8" x14ac:dyDescent="0.25">
      <c r="A66" s="113" t="s">
        <v>161</v>
      </c>
      <c r="B66" s="113"/>
      <c r="C66" s="266"/>
      <c r="D66" s="113"/>
      <c r="E66" s="114"/>
      <c r="F66" s="115">
        <f>(F64/F63)</f>
        <v>-5.4446855918215435E-3</v>
      </c>
      <c r="G66" s="115">
        <f t="shared" ref="G66:H66" si="7">(G64/G63)</f>
        <v>-0.14792486957697021</v>
      </c>
      <c r="H66" s="115">
        <f t="shared" si="7"/>
        <v>0.48268085222884921</v>
      </c>
      <c r="I66" s="4"/>
    </row>
    <row r="67" spans="1:9" x14ac:dyDescent="0.25">
      <c r="B67" s="1"/>
      <c r="C67" s="41"/>
      <c r="D67" s="46"/>
      <c r="E67" s="10"/>
      <c r="F67" s="4"/>
      <c r="G67" s="4"/>
      <c r="H67" s="4"/>
      <c r="I67" s="4"/>
    </row>
    <row r="68" spans="1:9" x14ac:dyDescent="0.25">
      <c r="C68" s="4"/>
      <c r="D68" s="4"/>
      <c r="E68" s="10"/>
      <c r="F68" s="4"/>
      <c r="G68" s="4"/>
      <c r="H68" s="4"/>
      <c r="I68" s="4"/>
    </row>
    <row r="69" spans="1:9" x14ac:dyDescent="0.25">
      <c r="C69" s="4"/>
      <c r="D69" s="4"/>
      <c r="E69" s="4"/>
      <c r="F69" s="4"/>
      <c r="G69" s="4"/>
      <c r="H69" s="4"/>
      <c r="I69" s="4"/>
    </row>
    <row r="70" spans="1:9" x14ac:dyDescent="0.25">
      <c r="C70" s="4"/>
      <c r="D70" s="4"/>
      <c r="E70" s="46"/>
      <c r="F70" s="4"/>
      <c r="G70" s="4"/>
      <c r="H70" s="4"/>
      <c r="I70" s="4"/>
    </row>
    <row r="71" spans="1:9" x14ac:dyDescent="0.25">
      <c r="C71" s="4"/>
      <c r="D71" s="4"/>
      <c r="E71" s="4"/>
      <c r="F71" s="4"/>
      <c r="G71" s="4"/>
      <c r="H71" s="4"/>
    </row>
    <row r="72" spans="1:9" x14ac:dyDescent="0.25">
      <c r="C72" s="4"/>
      <c r="D72" s="4"/>
      <c r="E72" s="4"/>
      <c r="F72" s="4"/>
      <c r="G72" s="4"/>
      <c r="H72" s="4"/>
    </row>
    <row r="73" spans="1:9" x14ac:dyDescent="0.25">
      <c r="C73" s="4"/>
      <c r="D73" s="4"/>
    </row>
    <row r="74" spans="1:9" x14ac:dyDescent="0.25">
      <c r="C74" s="4"/>
      <c r="D74" s="4"/>
    </row>
  </sheetData>
  <sheetProtection sheet="1" objects="1" scenarios="1" formatColumns="0" formatRows="0" selectLockedCells="1"/>
  <mergeCells count="3">
    <mergeCell ref="A2:H2"/>
    <mergeCell ref="A3:H3"/>
    <mergeCell ref="A4:H4"/>
  </mergeCells>
  <phoneticPr fontId="0" type="noConversion"/>
  <dataValidations disablePrompts="1"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8:A20">
      <formula1>Fert_Names</formula1>
    </dataValidation>
  </dataValidations>
  <printOptions horizontalCentered="1"/>
  <pageMargins left="0.25" right="0.25" top="0.75" bottom="0.75" header="0.3" footer="0.3"/>
  <pageSetup scale="79"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R75"/>
  <sheetViews>
    <sheetView showGridLines="0" showRowColHeaders="0" zoomScale="90" zoomScaleNormal="90" workbookViewId="0">
      <pane ySplit="7" topLeftCell="A35" activePane="bottomLeft" state="frozen"/>
      <selection activeCell="B17" sqref="B17"/>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120</v>
      </c>
      <c r="B3" s="319"/>
      <c r="C3" s="319"/>
      <c r="D3" s="319"/>
      <c r="E3" s="319"/>
      <c r="F3" s="319"/>
      <c r="G3" s="319"/>
      <c r="H3" s="319"/>
      <c r="I3" s="4"/>
      <c r="J3" s="4"/>
      <c r="K3" s="4"/>
      <c r="L3" s="4"/>
      <c r="M3" s="4"/>
      <c r="N3" s="4"/>
    </row>
    <row r="4" spans="1:18" ht="15" x14ac:dyDescent="0.25">
      <c r="A4" s="319" t="s">
        <v>269</v>
      </c>
      <c r="B4" s="319"/>
      <c r="C4" s="319"/>
      <c r="D4" s="319"/>
      <c r="E4" s="319"/>
      <c r="F4" s="319"/>
      <c r="G4" s="319"/>
      <c r="H4" s="319"/>
      <c r="I4" s="4"/>
      <c r="J4" s="4"/>
      <c r="K4" s="4"/>
      <c r="L4" s="4"/>
      <c r="M4" s="4"/>
      <c r="N4" s="4"/>
    </row>
    <row r="5" spans="1:18" ht="13.8" x14ac:dyDescent="0.25">
      <c r="A5" s="4"/>
      <c r="B5" s="40"/>
      <c r="C5" s="40"/>
      <c r="D5" s="40"/>
      <c r="E5" s="40"/>
      <c r="G5" s="245"/>
      <c r="H5" s="242" t="s">
        <v>102</v>
      </c>
      <c r="I5" s="69" t="s">
        <v>55</v>
      </c>
      <c r="J5" s="4"/>
      <c r="K5" s="4"/>
      <c r="L5" s="4"/>
      <c r="M5" s="4"/>
      <c r="N5" s="4"/>
      <c r="O5" s="1"/>
      <c r="P5" s="1"/>
    </row>
    <row r="6" spans="1:18" ht="13.8" x14ac:dyDescent="0.25">
      <c r="A6" s="4" t="s">
        <v>3</v>
      </c>
      <c r="B6" s="53" t="s">
        <v>4</v>
      </c>
      <c r="C6" s="119" t="s">
        <v>5</v>
      </c>
      <c r="D6" s="53" t="s">
        <v>6</v>
      </c>
      <c r="E6" s="53" t="s">
        <v>53</v>
      </c>
      <c r="F6" s="244" t="s">
        <v>151</v>
      </c>
      <c r="G6" s="244"/>
      <c r="H6" s="112" t="s">
        <v>55</v>
      </c>
      <c r="I6" s="70" t="s">
        <v>103</v>
      </c>
      <c r="J6" s="4"/>
      <c r="K6" s="4"/>
      <c r="L6" s="4"/>
      <c r="M6" s="4"/>
      <c r="N6" s="4"/>
    </row>
    <row r="7" spans="1:18" x14ac:dyDescent="0.25">
      <c r="A7" s="4"/>
      <c r="B7" s="5"/>
      <c r="C7" s="119"/>
      <c r="D7" s="5"/>
      <c r="E7" s="53" t="s">
        <v>55</v>
      </c>
      <c r="F7" s="53" t="s">
        <v>56</v>
      </c>
      <c r="G7" s="53" t="s">
        <v>52</v>
      </c>
      <c r="H7" s="53" t="s">
        <v>53</v>
      </c>
      <c r="J7" s="4"/>
      <c r="K7" s="4"/>
      <c r="L7" s="4"/>
      <c r="M7" s="4"/>
      <c r="N7" s="4"/>
    </row>
    <row r="8" spans="1:18" x14ac:dyDescent="0.25">
      <c r="A8" s="4" t="s">
        <v>7</v>
      </c>
      <c r="B8" s="5"/>
      <c r="C8" s="119"/>
      <c r="D8" s="5"/>
      <c r="E8" s="5"/>
      <c r="F8" s="5"/>
      <c r="G8" s="5"/>
      <c r="H8" s="5"/>
      <c r="J8" s="4"/>
      <c r="K8" s="4"/>
      <c r="L8" s="4"/>
      <c r="M8" s="4"/>
      <c r="N8" s="4"/>
    </row>
    <row r="9" spans="1:18" x14ac:dyDescent="0.25">
      <c r="A9" s="7" t="s">
        <v>89</v>
      </c>
      <c r="B9" s="47">
        <v>22</v>
      </c>
      <c r="C9" s="119" t="s">
        <v>54</v>
      </c>
      <c r="D9" s="55">
        <f>'Universal Input Prices'!$B$5</f>
        <v>13.9</v>
      </c>
      <c r="E9" s="34">
        <v>0.33</v>
      </c>
      <c r="F9" s="39">
        <f>D9*B9</f>
        <v>305.8</v>
      </c>
      <c r="G9" s="39">
        <f>F9*(1-E9)</f>
        <v>204.886</v>
      </c>
      <c r="H9" s="39">
        <f>IF(H6="Cash", D60,F9*E9)</f>
        <v>100.914</v>
      </c>
      <c r="J9" s="4"/>
      <c r="K9" s="4"/>
      <c r="L9" s="4"/>
      <c r="M9" s="4"/>
      <c r="N9" s="4"/>
    </row>
    <row r="10" spans="1:18" x14ac:dyDescent="0.25">
      <c r="A10" s="7" t="s">
        <v>263</v>
      </c>
      <c r="B10" s="47">
        <v>0</v>
      </c>
      <c r="C10" s="119" t="s">
        <v>264</v>
      </c>
      <c r="D10" s="55">
        <v>1</v>
      </c>
      <c r="E10" s="34">
        <v>0.33</v>
      </c>
      <c r="F10" s="39">
        <f>D10*B10</f>
        <v>0</v>
      </c>
      <c r="G10" s="39">
        <f>F10*(1-E10)</f>
        <v>0</v>
      </c>
      <c r="H10" s="39">
        <f>IF(H7="Cash", D59,F10*E10)</f>
        <v>0</v>
      </c>
      <c r="I10" s="4"/>
    </row>
    <row r="11" spans="1:18" x14ac:dyDescent="0.25">
      <c r="A11" s="9"/>
      <c r="B11" s="21"/>
      <c r="C11" s="264"/>
      <c r="D11" s="8"/>
      <c r="E11" s="36"/>
      <c r="F11" s="39"/>
      <c r="G11" s="39"/>
      <c r="H11" s="39"/>
      <c r="I11" s="4"/>
      <c r="J11" s="4"/>
      <c r="K11" s="4"/>
      <c r="L11" s="4"/>
      <c r="M11" s="4"/>
      <c r="N11" s="4"/>
    </row>
    <row r="12" spans="1:18" x14ac:dyDescent="0.25">
      <c r="A12" s="4" t="s">
        <v>12</v>
      </c>
      <c r="B12" s="5"/>
      <c r="C12" s="119"/>
      <c r="D12" s="8"/>
      <c r="E12" s="36"/>
      <c r="F12" s="39">
        <f>SUM(F8:F11)</f>
        <v>305.8</v>
      </c>
      <c r="G12" s="39">
        <f>SUM(G8:G11)</f>
        <v>204.886</v>
      </c>
      <c r="H12" s="39">
        <f>SUM(H8:H11)</f>
        <v>100.914</v>
      </c>
      <c r="I12" s="4"/>
      <c r="J12" s="4"/>
      <c r="K12" s="4"/>
      <c r="L12" s="4"/>
      <c r="M12" s="4"/>
      <c r="N12" s="4"/>
    </row>
    <row r="13" spans="1:18" x14ac:dyDescent="0.25">
      <c r="A13" s="4"/>
      <c r="B13" s="5"/>
      <c r="C13" s="119"/>
      <c r="D13" s="8"/>
      <c r="E13" s="36"/>
      <c r="F13" s="39"/>
      <c r="G13" s="39"/>
      <c r="H13" s="39"/>
      <c r="I13" s="4"/>
      <c r="J13" s="4"/>
      <c r="K13" s="4"/>
      <c r="L13" s="4"/>
      <c r="M13" s="4"/>
      <c r="N13" s="4"/>
    </row>
    <row r="14" spans="1:18" x14ac:dyDescent="0.25">
      <c r="A14" s="4" t="s">
        <v>207</v>
      </c>
      <c r="B14" s="5"/>
      <c r="C14" s="119"/>
      <c r="D14" s="8"/>
      <c r="E14" s="36"/>
      <c r="F14" s="39"/>
      <c r="G14" s="39"/>
      <c r="H14" s="39"/>
      <c r="I14" s="4"/>
      <c r="J14" s="4"/>
      <c r="K14" s="4"/>
      <c r="L14" s="4"/>
      <c r="M14" s="4"/>
      <c r="N14" s="4"/>
    </row>
    <row r="15" spans="1:18" x14ac:dyDescent="0.25">
      <c r="A15" s="4" t="s">
        <v>1</v>
      </c>
      <c r="B15" s="66"/>
      <c r="C15" s="119"/>
      <c r="D15" s="67"/>
      <c r="E15" s="36"/>
      <c r="F15" s="39"/>
      <c r="G15" s="39"/>
      <c r="H15" s="39"/>
      <c r="I15" s="4"/>
      <c r="J15" s="4"/>
      <c r="K15" s="4"/>
      <c r="L15" s="4"/>
      <c r="M15" s="4"/>
      <c r="N15" s="4"/>
    </row>
    <row r="16" spans="1:18" x14ac:dyDescent="0.25">
      <c r="A16" s="7" t="s">
        <v>124</v>
      </c>
      <c r="B16" s="28">
        <v>5</v>
      </c>
      <c r="C16" s="119" t="s">
        <v>79</v>
      </c>
      <c r="D16" s="13">
        <v>6.6</v>
      </c>
      <c r="E16" s="34">
        <v>0</v>
      </c>
      <c r="F16" s="39">
        <f>D16*B16</f>
        <v>33</v>
      </c>
      <c r="G16" s="39">
        <f>F16*(1-E16)</f>
        <v>33</v>
      </c>
      <c r="H16" s="39">
        <f>F16*E16</f>
        <v>0</v>
      </c>
      <c r="I16" s="4"/>
      <c r="J16" s="4"/>
      <c r="K16" s="4"/>
      <c r="L16" s="4"/>
      <c r="M16" s="4"/>
      <c r="N16" s="4"/>
    </row>
    <row r="17" spans="1:14" x14ac:dyDescent="0.25">
      <c r="A17" s="7" t="s">
        <v>92</v>
      </c>
      <c r="B17" s="28">
        <v>1</v>
      </c>
      <c r="C17" s="119" t="s">
        <v>14</v>
      </c>
      <c r="D17" s="13">
        <v>6.7</v>
      </c>
      <c r="E17" s="34">
        <v>0</v>
      </c>
      <c r="F17" s="39">
        <f>D17*B17</f>
        <v>6.7</v>
      </c>
      <c r="G17" s="39">
        <f>F17*(1-E17)</f>
        <v>6.7</v>
      </c>
      <c r="H17" s="39">
        <f>F17*E17</f>
        <v>0</v>
      </c>
      <c r="I17" s="4"/>
      <c r="J17" s="8"/>
      <c r="L17" s="52"/>
    </row>
    <row r="18" spans="1:14" x14ac:dyDescent="0.25">
      <c r="A18" s="4" t="s">
        <v>0</v>
      </c>
      <c r="B18" s="26"/>
      <c r="C18" s="119"/>
      <c r="D18" s="15"/>
      <c r="E18" s="36"/>
      <c r="F18" s="39"/>
      <c r="G18" s="39"/>
      <c r="H18" s="39"/>
      <c r="I18" s="4"/>
      <c r="J18" s="4"/>
      <c r="L18" s="52"/>
    </row>
    <row r="19" spans="1:14" x14ac:dyDescent="0.25">
      <c r="A19" s="302" t="s">
        <v>134</v>
      </c>
      <c r="B19" s="24">
        <v>30</v>
      </c>
      <c r="C19" s="119" t="s">
        <v>79</v>
      </c>
      <c r="D19" s="54">
        <f>IF(A19="",0,VLOOKUP(A19,'Universal Input Prices'!$A$26:$B$26, 2))</f>
        <v>0.33043478260869563</v>
      </c>
      <c r="E19" s="34">
        <v>0.33</v>
      </c>
      <c r="F19" s="39">
        <f>D19*B19</f>
        <v>9.9130434782608692</v>
      </c>
      <c r="G19" s="39">
        <f>F19*(1-E19)</f>
        <v>6.6417391304347815</v>
      </c>
      <c r="H19" s="39">
        <f>F19*E19</f>
        <v>3.2713043478260868</v>
      </c>
      <c r="I19" s="4"/>
      <c r="J19" s="4"/>
    </row>
    <row r="20" spans="1:14" x14ac:dyDescent="0.25">
      <c r="A20" s="302" t="s">
        <v>135</v>
      </c>
      <c r="B20" s="24">
        <v>60</v>
      </c>
      <c r="C20" s="119" t="s">
        <v>79</v>
      </c>
      <c r="D20" s="54">
        <f>IF(A20="",0,VLOOKUP(A20,'Universal Input Prices'!$A$26:$B$27, 2))</f>
        <v>0.41015625</v>
      </c>
      <c r="E20" s="34">
        <v>0.33</v>
      </c>
      <c r="F20" s="39">
        <f>D20*B20</f>
        <v>24.609375</v>
      </c>
      <c r="G20" s="39">
        <f>F20*(1-E20)</f>
        <v>16.48828125</v>
      </c>
      <c r="H20" s="39">
        <f>F20*E20</f>
        <v>8.12109375</v>
      </c>
      <c r="I20" s="4"/>
      <c r="J20" s="4"/>
    </row>
    <row r="21" spans="1:14" x14ac:dyDescent="0.25">
      <c r="A21" s="302"/>
      <c r="B21" s="24">
        <v>0</v>
      </c>
      <c r="C21" s="119" t="s">
        <v>79</v>
      </c>
      <c r="D21" s="54">
        <f>IF(A21="",0,VLOOKUP(A21,'Universal Input Prices'!$A$26:$B$30, 2))</f>
        <v>0</v>
      </c>
      <c r="E21" s="34">
        <v>0</v>
      </c>
      <c r="F21" s="39">
        <f>D21*B21</f>
        <v>0</v>
      </c>
      <c r="G21" s="39">
        <f>F21*(1-E21)</f>
        <v>0</v>
      </c>
      <c r="H21" s="39">
        <f>F21*E21</f>
        <v>0</v>
      </c>
      <c r="I21" s="4"/>
    </row>
    <row r="22" spans="1:14" x14ac:dyDescent="0.25">
      <c r="A22" s="4" t="s">
        <v>15</v>
      </c>
      <c r="B22" s="27"/>
      <c r="C22" s="119"/>
      <c r="D22" s="8"/>
      <c r="E22" s="36"/>
      <c r="F22" s="39"/>
      <c r="G22" s="39"/>
      <c r="H22" s="39"/>
      <c r="I22" s="4"/>
      <c r="J22" s="4"/>
    </row>
    <row r="23" spans="1:14" x14ac:dyDescent="0.25">
      <c r="A23" s="2" t="s">
        <v>236</v>
      </c>
      <c r="B23" s="24">
        <v>1</v>
      </c>
      <c r="C23" s="119" t="s">
        <v>14</v>
      </c>
      <c r="D23" s="14">
        <v>14.3</v>
      </c>
      <c r="E23" s="34">
        <v>0.33</v>
      </c>
      <c r="F23" s="39">
        <f t="shared" ref="F23:F38" si="0">D23*B23</f>
        <v>14.3</v>
      </c>
      <c r="G23" s="39">
        <f t="shared" ref="G23:G38" si="1">F23*(1-E23)</f>
        <v>9.5809999999999995</v>
      </c>
      <c r="H23" s="39">
        <f t="shared" ref="H23:H38" si="2">F23*E23</f>
        <v>4.7190000000000003</v>
      </c>
      <c r="I23" s="4"/>
      <c r="J23" s="4"/>
    </row>
    <row r="24" spans="1:14" x14ac:dyDescent="0.25">
      <c r="A24" s="2" t="s">
        <v>43</v>
      </c>
      <c r="B24" s="24">
        <v>1</v>
      </c>
      <c r="C24" s="119" t="s">
        <v>14</v>
      </c>
      <c r="D24" s="14">
        <v>5</v>
      </c>
      <c r="E24" s="34">
        <v>0.33</v>
      </c>
      <c r="F24" s="39">
        <f t="shared" si="0"/>
        <v>5</v>
      </c>
      <c r="G24" s="39">
        <f t="shared" si="1"/>
        <v>3.3499999999999996</v>
      </c>
      <c r="H24" s="39">
        <f t="shared" si="2"/>
        <v>1.6500000000000001</v>
      </c>
      <c r="I24" s="4"/>
      <c r="J24" s="4"/>
    </row>
    <row r="25" spans="1:14" x14ac:dyDescent="0.25">
      <c r="A25" s="2" t="s">
        <v>237</v>
      </c>
      <c r="B25" s="24">
        <v>1</v>
      </c>
      <c r="C25" s="119" t="s">
        <v>14</v>
      </c>
      <c r="D25" s="14">
        <v>22.9</v>
      </c>
      <c r="E25" s="34">
        <v>0.33</v>
      </c>
      <c r="F25" s="39">
        <f t="shared" si="0"/>
        <v>22.9</v>
      </c>
      <c r="G25" s="39">
        <f t="shared" si="1"/>
        <v>15.342999999999998</v>
      </c>
      <c r="H25" s="39">
        <f t="shared" si="2"/>
        <v>7.5569999999999995</v>
      </c>
      <c r="I25" s="4"/>
      <c r="J25" s="4"/>
    </row>
    <row r="26" spans="1:14" x14ac:dyDescent="0.25">
      <c r="A26" s="2" t="s">
        <v>47</v>
      </c>
      <c r="B26" s="27">
        <v>1</v>
      </c>
      <c r="C26" s="119" t="s">
        <v>14</v>
      </c>
      <c r="D26" s="14">
        <v>26.75</v>
      </c>
      <c r="E26" s="34">
        <v>0</v>
      </c>
      <c r="F26" s="39">
        <f t="shared" si="0"/>
        <v>26.75</v>
      </c>
      <c r="G26" s="39">
        <f t="shared" si="1"/>
        <v>26.75</v>
      </c>
      <c r="H26" s="39">
        <f t="shared" si="2"/>
        <v>0</v>
      </c>
      <c r="I26" s="4"/>
      <c r="J26" s="4"/>
      <c r="K26" s="4"/>
      <c r="L26" s="4"/>
      <c r="M26" s="4"/>
      <c r="N26" s="4"/>
    </row>
    <row r="27" spans="1:14" x14ac:dyDescent="0.25">
      <c r="A27" s="2" t="s">
        <v>47</v>
      </c>
      <c r="B27" s="5">
        <f>B9</f>
        <v>22</v>
      </c>
      <c r="C27" s="119" t="s">
        <v>54</v>
      </c>
      <c r="D27" s="14">
        <v>0.45</v>
      </c>
      <c r="E27" s="34">
        <v>0</v>
      </c>
      <c r="F27" s="39">
        <f t="shared" si="0"/>
        <v>9.9</v>
      </c>
      <c r="G27" s="39">
        <f t="shared" si="1"/>
        <v>9.9</v>
      </c>
      <c r="H27" s="39">
        <f t="shared" si="2"/>
        <v>0</v>
      </c>
      <c r="I27" s="4"/>
      <c r="J27" s="4"/>
      <c r="K27" s="4"/>
      <c r="L27" s="4"/>
      <c r="M27" s="4"/>
      <c r="N27" s="4"/>
    </row>
    <row r="28" spans="1:14" x14ac:dyDescent="0.25">
      <c r="A28" s="7" t="s">
        <v>20</v>
      </c>
      <c r="B28" s="24">
        <v>0</v>
      </c>
      <c r="C28" s="119" t="s">
        <v>14</v>
      </c>
      <c r="D28" s="14">
        <v>0</v>
      </c>
      <c r="E28" s="34">
        <v>0</v>
      </c>
      <c r="F28" s="39">
        <f t="shared" si="0"/>
        <v>0</v>
      </c>
      <c r="G28" s="39">
        <f t="shared" si="1"/>
        <v>0</v>
      </c>
      <c r="H28" s="39">
        <f t="shared" si="2"/>
        <v>0</v>
      </c>
      <c r="I28" s="4"/>
      <c r="J28" s="4"/>
      <c r="K28" s="4"/>
      <c r="L28" s="4"/>
      <c r="M28" s="4"/>
      <c r="N28" s="4"/>
    </row>
    <row r="29" spans="1:14" x14ac:dyDescent="0.25">
      <c r="A29" s="2" t="s">
        <v>21</v>
      </c>
      <c r="B29" s="24">
        <v>1</v>
      </c>
      <c r="C29" s="119" t="s">
        <v>14</v>
      </c>
      <c r="D29" s="14">
        <v>0</v>
      </c>
      <c r="E29" s="34">
        <v>0</v>
      </c>
      <c r="F29" s="39">
        <f t="shared" si="0"/>
        <v>0</v>
      </c>
      <c r="G29" s="39">
        <f t="shared" si="1"/>
        <v>0</v>
      </c>
      <c r="H29" s="39">
        <f t="shared" si="2"/>
        <v>0</v>
      </c>
      <c r="I29" s="4"/>
      <c r="J29" s="4"/>
      <c r="K29" s="4"/>
      <c r="L29" s="4"/>
      <c r="M29" s="4"/>
      <c r="N29" s="4"/>
    </row>
    <row r="30" spans="1:14" x14ac:dyDescent="0.25">
      <c r="A30" s="16" t="s">
        <v>40</v>
      </c>
      <c r="B30" s="24">
        <v>1</v>
      </c>
      <c r="C30" s="265" t="s">
        <v>14</v>
      </c>
      <c r="D30" s="14">
        <v>0</v>
      </c>
      <c r="E30" s="34">
        <v>0</v>
      </c>
      <c r="F30" s="39">
        <f t="shared" si="0"/>
        <v>0</v>
      </c>
      <c r="G30" s="39">
        <f t="shared" si="1"/>
        <v>0</v>
      </c>
      <c r="H30" s="39">
        <f t="shared" si="2"/>
        <v>0</v>
      </c>
      <c r="I30" s="4"/>
      <c r="J30" s="4"/>
      <c r="K30" s="4"/>
      <c r="L30" s="4"/>
      <c r="M30" s="4"/>
      <c r="N30" s="4"/>
    </row>
    <row r="31" spans="1:14" x14ac:dyDescent="0.25">
      <c r="A31" s="16" t="s">
        <v>40</v>
      </c>
      <c r="B31" s="24">
        <v>1</v>
      </c>
      <c r="C31" s="265" t="s">
        <v>14</v>
      </c>
      <c r="D31" s="14">
        <v>0</v>
      </c>
      <c r="E31" s="34">
        <v>0</v>
      </c>
      <c r="F31" s="39">
        <f t="shared" si="0"/>
        <v>0</v>
      </c>
      <c r="G31" s="39">
        <f t="shared" si="1"/>
        <v>0</v>
      </c>
      <c r="H31" s="39">
        <f t="shared" si="2"/>
        <v>0</v>
      </c>
      <c r="I31" s="4"/>
      <c r="J31" s="4"/>
      <c r="K31" s="4"/>
      <c r="L31" s="4"/>
      <c r="M31" s="4"/>
      <c r="N31" s="4"/>
    </row>
    <row r="32" spans="1:14" x14ac:dyDescent="0.25">
      <c r="A32" s="16" t="s">
        <v>40</v>
      </c>
      <c r="B32" s="24">
        <v>1</v>
      </c>
      <c r="C32" s="265" t="s">
        <v>14</v>
      </c>
      <c r="D32" s="14">
        <v>0</v>
      </c>
      <c r="E32" s="34">
        <v>0</v>
      </c>
      <c r="F32" s="39">
        <f t="shared" si="0"/>
        <v>0</v>
      </c>
      <c r="G32" s="39">
        <f t="shared" si="1"/>
        <v>0</v>
      </c>
      <c r="H32" s="39">
        <f t="shared" si="2"/>
        <v>0</v>
      </c>
      <c r="I32" s="4"/>
      <c r="J32" s="4"/>
      <c r="K32" s="4"/>
      <c r="L32" s="4"/>
      <c r="M32" s="4"/>
      <c r="N32" s="4"/>
    </row>
    <row r="33" spans="1:14" x14ac:dyDescent="0.25">
      <c r="A33" s="4" t="s">
        <v>22</v>
      </c>
      <c r="B33" s="24">
        <v>1</v>
      </c>
      <c r="C33" s="119" t="s">
        <v>14</v>
      </c>
      <c r="D33" s="14">
        <v>0</v>
      </c>
      <c r="E33" s="34">
        <v>0.33</v>
      </c>
      <c r="F33" s="39">
        <f t="shared" si="0"/>
        <v>0</v>
      </c>
      <c r="G33" s="39">
        <f t="shared" si="1"/>
        <v>0</v>
      </c>
      <c r="H33" s="39">
        <f t="shared" si="2"/>
        <v>0</v>
      </c>
      <c r="I33" s="4"/>
      <c r="J33" s="4"/>
      <c r="K33" s="4"/>
      <c r="L33" s="4"/>
      <c r="M33" s="4"/>
      <c r="N33" s="4"/>
    </row>
    <row r="34" spans="1:14" x14ac:dyDescent="0.25">
      <c r="A34" s="4" t="s">
        <v>140</v>
      </c>
      <c r="B34" s="28">
        <v>1.04</v>
      </c>
      <c r="C34" s="119" t="s">
        <v>23</v>
      </c>
      <c r="D34" s="55">
        <f>'Universal Input Prices'!$B$31</f>
        <v>12.45</v>
      </c>
      <c r="E34" s="34">
        <v>0</v>
      </c>
      <c r="F34" s="39">
        <f t="shared" si="0"/>
        <v>12.948</v>
      </c>
      <c r="G34" s="39">
        <f t="shared" si="1"/>
        <v>12.948</v>
      </c>
      <c r="H34" s="39">
        <f t="shared" si="2"/>
        <v>0</v>
      </c>
      <c r="I34" s="4"/>
      <c r="J34" s="4"/>
      <c r="K34" s="4"/>
      <c r="L34" s="4"/>
      <c r="M34" s="4"/>
      <c r="N34" s="4"/>
    </row>
    <row r="35" spans="1:14" x14ac:dyDescent="0.25">
      <c r="A35" s="4" t="s">
        <v>24</v>
      </c>
      <c r="B35" s="28">
        <v>0.64</v>
      </c>
      <c r="C35" s="119" t="s">
        <v>23</v>
      </c>
      <c r="D35" s="55">
        <f>'Universal Input Prices'!$B$31</f>
        <v>12.45</v>
      </c>
      <c r="E35" s="34">
        <v>0</v>
      </c>
      <c r="F35" s="39">
        <f t="shared" si="0"/>
        <v>7.968</v>
      </c>
      <c r="G35" s="39">
        <f t="shared" si="1"/>
        <v>7.968</v>
      </c>
      <c r="H35" s="39">
        <f t="shared" si="2"/>
        <v>0</v>
      </c>
      <c r="I35" s="4"/>
      <c r="J35" s="4"/>
      <c r="K35" s="4"/>
      <c r="L35" s="4"/>
      <c r="M35" s="4"/>
      <c r="N35" s="4"/>
    </row>
    <row r="36" spans="1:14" x14ac:dyDescent="0.25">
      <c r="A36" s="4" t="s">
        <v>25</v>
      </c>
      <c r="B36" s="28">
        <v>2.65</v>
      </c>
      <c r="C36" s="119" t="s">
        <v>26</v>
      </c>
      <c r="D36" s="55">
        <f>'Universal Input Prices'!$B$32</f>
        <v>1.81</v>
      </c>
      <c r="E36" s="34">
        <v>0</v>
      </c>
      <c r="F36" s="39">
        <f t="shared" si="0"/>
        <v>4.7965</v>
      </c>
      <c r="G36" s="39">
        <f t="shared" si="1"/>
        <v>4.7965</v>
      </c>
      <c r="H36" s="39">
        <f t="shared" si="2"/>
        <v>0</v>
      </c>
      <c r="I36" s="4"/>
      <c r="J36" s="4"/>
      <c r="K36" s="4"/>
      <c r="L36" s="4"/>
      <c r="M36" s="4"/>
      <c r="N36" s="4"/>
    </row>
    <row r="37" spans="1:14" x14ac:dyDescent="0.25">
      <c r="A37" s="4" t="s">
        <v>27</v>
      </c>
      <c r="B37" s="28">
        <v>2.0492300000000001</v>
      </c>
      <c r="C37" s="119" t="s">
        <v>26</v>
      </c>
      <c r="D37" s="55">
        <f>'Universal Input Prices'!$B$33</f>
        <v>1.9259999999999999</v>
      </c>
      <c r="E37" s="34">
        <v>0</v>
      </c>
      <c r="F37" s="39">
        <f t="shared" si="0"/>
        <v>3.9468169799999999</v>
      </c>
      <c r="G37" s="39">
        <f t="shared" si="1"/>
        <v>3.9468169799999999</v>
      </c>
      <c r="H37" s="39">
        <f t="shared" si="2"/>
        <v>0</v>
      </c>
      <c r="I37" s="4"/>
      <c r="J37" s="4"/>
      <c r="K37" s="4"/>
      <c r="L37" s="4"/>
      <c r="M37" s="4"/>
      <c r="N37" s="4"/>
    </row>
    <row r="38" spans="1:14" x14ac:dyDescent="0.25">
      <c r="A38" s="4" t="s">
        <v>28</v>
      </c>
      <c r="B38" s="28">
        <v>10</v>
      </c>
      <c r="C38" s="119" t="s">
        <v>29</v>
      </c>
      <c r="D38" s="55">
        <f>'Universal Input Prices'!$B$34</f>
        <v>3.6</v>
      </c>
      <c r="E38" s="34">
        <v>0.33</v>
      </c>
      <c r="F38" s="39">
        <f t="shared" si="0"/>
        <v>36</v>
      </c>
      <c r="G38" s="39">
        <f t="shared" si="1"/>
        <v>24.119999999999997</v>
      </c>
      <c r="H38" s="39">
        <f t="shared" si="2"/>
        <v>11.88</v>
      </c>
      <c r="I38" s="4"/>
      <c r="J38" s="4"/>
      <c r="K38" s="4"/>
      <c r="L38" s="4"/>
      <c r="M38" s="4"/>
      <c r="N38" s="4"/>
    </row>
    <row r="39" spans="1:14" hidden="1" x14ac:dyDescent="0.25">
      <c r="A39" s="4" t="s">
        <v>248</v>
      </c>
      <c r="B39" s="28">
        <v>94.28</v>
      </c>
      <c r="C39" s="119"/>
      <c r="D39" s="55"/>
      <c r="E39" s="34"/>
      <c r="F39" s="39"/>
      <c r="G39" s="39"/>
      <c r="H39" s="39"/>
      <c r="I39" s="4"/>
    </row>
    <row r="40" spans="1:14" hidden="1" x14ac:dyDescent="0.25">
      <c r="A40" s="4" t="s">
        <v>249</v>
      </c>
      <c r="B40" s="48">
        <f>B38*18.85694/B39</f>
        <v>2.000099703012304</v>
      </c>
      <c r="C40" s="119"/>
      <c r="D40" s="55"/>
      <c r="E40" s="34"/>
      <c r="F40" s="39"/>
      <c r="G40" s="39"/>
      <c r="H40" s="39"/>
      <c r="I40" s="4"/>
    </row>
    <row r="41" spans="1:14" x14ac:dyDescent="0.25">
      <c r="A41" s="4" t="s">
        <v>30</v>
      </c>
      <c r="B41" s="5"/>
      <c r="C41" s="119"/>
      <c r="D41" s="15"/>
      <c r="E41" s="36"/>
      <c r="F41" s="39"/>
      <c r="G41" s="39"/>
      <c r="H41" s="39"/>
      <c r="I41" s="4"/>
      <c r="J41" s="4"/>
      <c r="K41" s="4"/>
      <c r="L41" s="4"/>
      <c r="M41" s="4"/>
      <c r="N41" s="4"/>
    </row>
    <row r="42" spans="1:14" x14ac:dyDescent="0.25">
      <c r="A42" s="7" t="s">
        <v>31</v>
      </c>
      <c r="B42" s="5">
        <v>1</v>
      </c>
      <c r="C42" s="119" t="s">
        <v>14</v>
      </c>
      <c r="D42" s="14">
        <v>10.96</v>
      </c>
      <c r="E42" s="34">
        <v>0</v>
      </c>
      <c r="F42" s="39">
        <f>D42*B42</f>
        <v>10.96</v>
      </c>
      <c r="G42" s="39">
        <f>F42*(1-E42)</f>
        <v>10.96</v>
      </c>
      <c r="H42" s="39">
        <f>F42*E42</f>
        <v>0</v>
      </c>
      <c r="I42" s="4"/>
      <c r="J42" s="4"/>
      <c r="K42" s="4"/>
      <c r="L42" s="4"/>
      <c r="M42" s="4"/>
      <c r="N42" s="4"/>
    </row>
    <row r="43" spans="1:14" x14ac:dyDescent="0.25">
      <c r="A43" s="7" t="s">
        <v>2</v>
      </c>
      <c r="B43" s="5">
        <v>1</v>
      </c>
      <c r="C43" s="119" t="s">
        <v>14</v>
      </c>
      <c r="D43" s="14">
        <v>4.6500000000000004</v>
      </c>
      <c r="E43" s="34">
        <v>0</v>
      </c>
      <c r="F43" s="39">
        <f>D43*B43</f>
        <v>4.6500000000000004</v>
      </c>
      <c r="G43" s="39">
        <f>F43*(1-E43)</f>
        <v>4.6500000000000004</v>
      </c>
      <c r="H43" s="39">
        <f>F43*E43</f>
        <v>0</v>
      </c>
      <c r="I43" s="4"/>
      <c r="J43" s="4"/>
      <c r="K43" s="4"/>
      <c r="L43" s="4"/>
      <c r="M43" s="4"/>
      <c r="N43" s="4"/>
    </row>
    <row r="44" spans="1:14" x14ac:dyDescent="0.25">
      <c r="A44" s="7" t="s">
        <v>32</v>
      </c>
      <c r="B44" s="5">
        <f>B38</f>
        <v>10</v>
      </c>
      <c r="C44" s="119" t="s">
        <v>29</v>
      </c>
      <c r="D44" s="14">
        <v>4.04</v>
      </c>
      <c r="E44" s="34">
        <v>0</v>
      </c>
      <c r="F44" s="39">
        <f>D44*B44</f>
        <v>40.4</v>
      </c>
      <c r="G44" s="39">
        <f>F44*(1-E44)</f>
        <v>40.4</v>
      </c>
      <c r="H44" s="39">
        <f>F44*E44</f>
        <v>0</v>
      </c>
      <c r="I44" s="4"/>
      <c r="J44" s="4"/>
      <c r="K44" s="4"/>
      <c r="L44" s="4"/>
      <c r="M44" s="4"/>
      <c r="N44" s="4"/>
    </row>
    <row r="45" spans="1:14" x14ac:dyDescent="0.25">
      <c r="A45" s="7" t="s">
        <v>204</v>
      </c>
      <c r="B45" s="5">
        <v>1</v>
      </c>
      <c r="C45" s="119" t="s">
        <v>14</v>
      </c>
      <c r="D45" s="14">
        <v>0</v>
      </c>
      <c r="E45" s="34">
        <v>1</v>
      </c>
      <c r="F45" s="39">
        <f>D45*B45</f>
        <v>0</v>
      </c>
      <c r="G45" s="39">
        <f>F45*(1-E45)</f>
        <v>0</v>
      </c>
      <c r="H45" s="39">
        <f>F45*E45</f>
        <v>0</v>
      </c>
      <c r="I45" s="4"/>
      <c r="J45" s="4"/>
      <c r="K45" s="4"/>
      <c r="L45" s="4"/>
      <c r="M45" s="4"/>
      <c r="N45" s="4"/>
    </row>
    <row r="46" spans="1:14" x14ac:dyDescent="0.25">
      <c r="A46" s="7" t="s">
        <v>33</v>
      </c>
      <c r="B46" s="5">
        <v>1</v>
      </c>
      <c r="C46" s="119" t="s">
        <v>14</v>
      </c>
      <c r="D46" s="14">
        <v>2.5099999999999998</v>
      </c>
      <c r="E46" s="34">
        <v>0</v>
      </c>
      <c r="F46" s="39">
        <f>D46*B46</f>
        <v>2.5099999999999998</v>
      </c>
      <c r="G46" s="39">
        <f>F46*(1-E46)</f>
        <v>2.5099999999999998</v>
      </c>
      <c r="H46" s="39">
        <f>F46*E46</f>
        <v>0</v>
      </c>
      <c r="I46" s="4"/>
      <c r="J46" s="4"/>
      <c r="K46" s="4"/>
      <c r="L46" s="4"/>
      <c r="M46" s="4"/>
      <c r="N46" s="4"/>
    </row>
    <row r="47" spans="1:14" x14ac:dyDescent="0.25">
      <c r="A47" s="4" t="s">
        <v>34</v>
      </c>
      <c r="B47" s="89">
        <f>'Universal Input Prices'!$B$35</f>
        <v>5.3999999999999999E-2</v>
      </c>
      <c r="C47" s="119"/>
      <c r="D47" s="22"/>
      <c r="E47" s="36"/>
      <c r="F47" s="158">
        <f>(SUM(F16:F25,F28:F46))*$B47/1.85</f>
        <v>7.0229695755384247</v>
      </c>
      <c r="G47" s="158">
        <f t="shared" ref="G47:H47" si="3">(SUM(G16:G25,G28:G46))*$B47/2</f>
        <v>5.4918901087317389</v>
      </c>
      <c r="H47" s="158">
        <f t="shared" si="3"/>
        <v>1.0043567486413043</v>
      </c>
      <c r="I47" s="4"/>
      <c r="J47" s="4"/>
      <c r="K47" s="4"/>
      <c r="L47" s="4"/>
      <c r="M47" s="4"/>
      <c r="N47" s="4"/>
    </row>
    <row r="48" spans="1:14" x14ac:dyDescent="0.25">
      <c r="A48" s="4"/>
      <c r="B48" s="10"/>
      <c r="C48" s="119"/>
      <c r="D48" s="8"/>
      <c r="E48" s="35"/>
      <c r="F48" s="39"/>
      <c r="G48" s="39"/>
      <c r="H48" s="39"/>
      <c r="I48" s="4"/>
      <c r="J48" s="4"/>
      <c r="K48" s="4"/>
      <c r="L48" s="4"/>
      <c r="M48" s="4"/>
      <c r="N48" s="4"/>
    </row>
    <row r="49" spans="1:14" x14ac:dyDescent="0.25">
      <c r="A49" s="4" t="s">
        <v>205</v>
      </c>
      <c r="B49" s="10"/>
      <c r="C49" s="119"/>
      <c r="D49" s="8"/>
      <c r="E49" s="38"/>
      <c r="F49" s="39">
        <f>SUM(F15:F47)</f>
        <v>284.27470503379925</v>
      </c>
      <c r="G49" s="39">
        <f>SUM(G15:G47)</f>
        <v>245.54522746916655</v>
      </c>
      <c r="H49" s="39">
        <f>SUM(H15:H47)</f>
        <v>38.202754846467393</v>
      </c>
      <c r="I49" s="4"/>
      <c r="J49" s="4"/>
      <c r="K49" s="4"/>
      <c r="L49" s="4"/>
      <c r="M49" s="4"/>
      <c r="N49" s="4"/>
    </row>
    <row r="50" spans="1:14" ht="13.8" x14ac:dyDescent="0.25">
      <c r="A50" s="12" t="s">
        <v>206</v>
      </c>
      <c r="B50" s="10"/>
      <c r="C50" s="119"/>
      <c r="D50" s="8"/>
      <c r="E50" s="35"/>
      <c r="F50" s="72">
        <f>F12-F49</f>
        <v>21.525294966200761</v>
      </c>
      <c r="G50" s="72">
        <f>G12-G49</f>
        <v>-40.659227469166552</v>
      </c>
      <c r="H50" s="72">
        <f>H12-H49</f>
        <v>62.711245153532609</v>
      </c>
      <c r="I50" s="4"/>
      <c r="J50" s="4"/>
      <c r="K50" s="4"/>
      <c r="L50" s="4"/>
      <c r="M50" s="4"/>
      <c r="N50" s="4"/>
    </row>
    <row r="51" spans="1:14" x14ac:dyDescent="0.25">
      <c r="A51" s="4"/>
      <c r="B51" s="10"/>
      <c r="C51" s="119"/>
      <c r="D51" s="8"/>
      <c r="E51" s="35"/>
      <c r="F51" s="39"/>
      <c r="G51" s="39"/>
      <c r="H51" s="39"/>
      <c r="I51" s="4"/>
      <c r="J51" s="4"/>
      <c r="K51" s="4"/>
      <c r="L51" s="4"/>
      <c r="M51" s="4"/>
      <c r="N51" s="4"/>
    </row>
    <row r="52" spans="1:14" x14ac:dyDescent="0.25">
      <c r="A52" s="4" t="s">
        <v>208</v>
      </c>
      <c r="B52" s="10"/>
      <c r="C52" s="119"/>
      <c r="D52" s="8"/>
      <c r="E52" s="45"/>
      <c r="F52" s="39"/>
      <c r="G52" s="39"/>
      <c r="H52" s="39"/>
      <c r="I52" s="4"/>
      <c r="J52" s="4"/>
      <c r="K52" s="4"/>
      <c r="L52" s="4"/>
      <c r="M52" s="4"/>
      <c r="N52" s="4"/>
    </row>
    <row r="53" spans="1:14" x14ac:dyDescent="0.25">
      <c r="A53" s="7" t="s">
        <v>31</v>
      </c>
      <c r="B53" s="5">
        <v>1</v>
      </c>
      <c r="C53" s="119" t="s">
        <v>14</v>
      </c>
      <c r="D53" s="14">
        <v>17.37</v>
      </c>
      <c r="E53" s="34">
        <v>0</v>
      </c>
      <c r="F53" s="39">
        <f t="shared" ref="F53:F58" si="4">D53*B53</f>
        <v>17.37</v>
      </c>
      <c r="G53" s="39">
        <f t="shared" ref="G53:G61" si="5">F53*(1-E53)</f>
        <v>17.37</v>
      </c>
      <c r="H53" s="39">
        <f t="shared" ref="H53:H61" si="6">F53*E53</f>
        <v>0</v>
      </c>
      <c r="I53" s="4"/>
      <c r="J53" s="4"/>
      <c r="K53" s="4"/>
      <c r="L53" s="4"/>
      <c r="M53" s="4"/>
      <c r="N53" s="4"/>
    </row>
    <row r="54" spans="1:14" x14ac:dyDescent="0.25">
      <c r="A54" s="7" t="s">
        <v>2</v>
      </c>
      <c r="B54" s="5">
        <v>1</v>
      </c>
      <c r="C54" s="119" t="s">
        <v>14</v>
      </c>
      <c r="D54" s="14">
        <v>6.69</v>
      </c>
      <c r="E54" s="34">
        <v>0</v>
      </c>
      <c r="F54" s="39">
        <f t="shared" si="4"/>
        <v>6.69</v>
      </c>
      <c r="G54" s="39">
        <f t="shared" si="5"/>
        <v>6.69</v>
      </c>
      <c r="H54" s="39">
        <f t="shared" si="6"/>
        <v>0</v>
      </c>
      <c r="I54" s="4"/>
      <c r="J54" s="4"/>
      <c r="K54" s="4"/>
      <c r="L54" s="4"/>
      <c r="M54" s="4"/>
      <c r="N54" s="4"/>
    </row>
    <row r="55" spans="1:14" x14ac:dyDescent="0.25">
      <c r="A55" s="2" t="s">
        <v>273</v>
      </c>
      <c r="B55" s="5">
        <v>1</v>
      </c>
      <c r="C55" s="119" t="s">
        <v>14</v>
      </c>
      <c r="D55" s="14">
        <v>33.5</v>
      </c>
      <c r="E55" s="34">
        <v>0</v>
      </c>
      <c r="F55" s="39">
        <f t="shared" si="4"/>
        <v>33.5</v>
      </c>
      <c r="G55" s="39">
        <f t="shared" si="5"/>
        <v>33.5</v>
      </c>
      <c r="H55" s="39">
        <f t="shared" si="6"/>
        <v>0</v>
      </c>
      <c r="I55" s="4"/>
      <c r="J55" s="4"/>
      <c r="K55" s="4"/>
      <c r="L55" s="4"/>
      <c r="M55" s="4"/>
      <c r="N55" s="4"/>
    </row>
    <row r="56" spans="1:14" x14ac:dyDescent="0.25">
      <c r="A56" s="7" t="s">
        <v>204</v>
      </c>
      <c r="B56" s="5">
        <v>1</v>
      </c>
      <c r="C56" s="119" t="s">
        <v>14</v>
      </c>
      <c r="D56" s="14">
        <v>0</v>
      </c>
      <c r="E56" s="34">
        <v>1</v>
      </c>
      <c r="F56" s="39">
        <f t="shared" si="4"/>
        <v>0</v>
      </c>
      <c r="G56" s="39">
        <f t="shared" si="5"/>
        <v>0</v>
      </c>
      <c r="H56" s="39">
        <f t="shared" si="6"/>
        <v>0</v>
      </c>
      <c r="I56" s="4"/>
      <c r="J56" s="4"/>
      <c r="K56" s="4"/>
      <c r="L56" s="4"/>
      <c r="M56" s="4"/>
      <c r="N56" s="4"/>
    </row>
    <row r="57" spans="1:14" x14ac:dyDescent="0.25">
      <c r="A57" s="7" t="s">
        <v>33</v>
      </c>
      <c r="B57" s="5">
        <v>1</v>
      </c>
      <c r="C57" s="119" t="s">
        <v>14</v>
      </c>
      <c r="D57" s="14">
        <v>3.66</v>
      </c>
      <c r="E57" s="34">
        <v>0</v>
      </c>
      <c r="F57" s="39">
        <f t="shared" si="4"/>
        <v>3.66</v>
      </c>
      <c r="G57" s="39">
        <f t="shared" si="5"/>
        <v>3.66</v>
      </c>
      <c r="H57" s="39">
        <f t="shared" si="6"/>
        <v>0</v>
      </c>
      <c r="I57" s="4"/>
      <c r="J57" s="4"/>
      <c r="K57" s="4"/>
      <c r="L57" s="4"/>
      <c r="M57" s="4"/>
      <c r="N57" s="4"/>
    </row>
    <row r="58" spans="1:14" x14ac:dyDescent="0.25">
      <c r="A58" s="7" t="s">
        <v>35</v>
      </c>
      <c r="B58" s="5">
        <v>1</v>
      </c>
      <c r="C58" s="119" t="s">
        <v>14</v>
      </c>
      <c r="D58" s="14">
        <v>0</v>
      </c>
      <c r="E58" s="34">
        <v>0</v>
      </c>
      <c r="F58" s="39">
        <f t="shared" si="4"/>
        <v>0</v>
      </c>
      <c r="G58" s="39">
        <f t="shared" si="5"/>
        <v>0</v>
      </c>
      <c r="H58" s="39">
        <f t="shared" si="6"/>
        <v>0</v>
      </c>
      <c r="I58" s="4"/>
      <c r="J58" s="4"/>
      <c r="K58" s="4"/>
      <c r="L58" s="4"/>
      <c r="M58" s="4"/>
      <c r="N58" s="4"/>
    </row>
    <row r="59" spans="1:14" x14ac:dyDescent="0.25">
      <c r="A59" s="2" t="s">
        <v>272</v>
      </c>
      <c r="B59" s="5">
        <v>1</v>
      </c>
      <c r="C59" s="119" t="s">
        <v>14</v>
      </c>
      <c r="D59" s="14">
        <v>26.57</v>
      </c>
      <c r="E59" s="34">
        <v>0</v>
      </c>
      <c r="F59" s="39">
        <f>B59*D59</f>
        <v>26.57</v>
      </c>
      <c r="G59" s="39">
        <f t="shared" si="5"/>
        <v>26.57</v>
      </c>
      <c r="H59" s="39">
        <f t="shared" si="6"/>
        <v>0</v>
      </c>
      <c r="I59" s="4"/>
      <c r="J59" s="4"/>
      <c r="K59" s="4"/>
      <c r="L59" s="4"/>
      <c r="M59" s="4"/>
      <c r="N59" s="4"/>
    </row>
    <row r="60" spans="1:14" x14ac:dyDescent="0.25">
      <c r="A60" s="7" t="s">
        <v>36</v>
      </c>
      <c r="B60" s="43">
        <v>1</v>
      </c>
      <c r="C60" s="119" t="s">
        <v>14</v>
      </c>
      <c r="D60" s="14">
        <v>72</v>
      </c>
      <c r="E60" s="34">
        <v>1</v>
      </c>
      <c r="F60" s="39">
        <f>D60*B60</f>
        <v>72</v>
      </c>
      <c r="G60" s="39">
        <f>IF($H$6="Cash",D60,F60*(1-E60))</f>
        <v>0</v>
      </c>
      <c r="H60" s="39">
        <f>IF($H$6="Cash",0,F60*E60)</f>
        <v>72</v>
      </c>
      <c r="I60" s="4"/>
      <c r="J60" s="4"/>
      <c r="K60" s="4"/>
      <c r="L60" s="4"/>
      <c r="M60" s="4"/>
      <c r="N60" s="4"/>
    </row>
    <row r="61" spans="1:14" x14ac:dyDescent="0.25">
      <c r="A61" s="7" t="s">
        <v>42</v>
      </c>
      <c r="B61" s="43">
        <v>1</v>
      </c>
      <c r="C61" s="119" t="s">
        <v>14</v>
      </c>
      <c r="D61" s="14">
        <v>0</v>
      </c>
      <c r="E61" s="34">
        <v>1</v>
      </c>
      <c r="F61" s="39">
        <f>B61*D61</f>
        <v>0</v>
      </c>
      <c r="G61" s="39">
        <f t="shared" si="5"/>
        <v>0</v>
      </c>
      <c r="H61" s="39">
        <f t="shared" si="6"/>
        <v>0</v>
      </c>
      <c r="I61" s="4"/>
      <c r="J61" s="4"/>
      <c r="K61" s="4"/>
      <c r="L61" s="4"/>
      <c r="M61" s="4"/>
      <c r="N61" s="4"/>
    </row>
    <row r="62" spans="1:14" x14ac:dyDescent="0.25">
      <c r="A62" s="4" t="s">
        <v>37</v>
      </c>
      <c r="B62" s="5"/>
      <c r="C62" s="119"/>
      <c r="D62" s="10"/>
      <c r="E62" s="36"/>
      <c r="F62" s="39">
        <f>SUM(F53:F61)</f>
        <v>159.79</v>
      </c>
      <c r="G62" s="39">
        <f>SUM(G53:G61)</f>
        <v>87.789999999999992</v>
      </c>
      <c r="H62" s="39">
        <f>SUM(H53:H61)</f>
        <v>72</v>
      </c>
      <c r="I62" s="4"/>
      <c r="J62" s="4"/>
      <c r="K62" s="4"/>
      <c r="L62" s="4"/>
      <c r="M62" s="4"/>
      <c r="N62" s="4"/>
    </row>
    <row r="63" spans="1:14" x14ac:dyDescent="0.25">
      <c r="A63" s="4" t="s">
        <v>38</v>
      </c>
      <c r="B63" s="5"/>
      <c r="C63" s="119"/>
      <c r="D63" s="10"/>
      <c r="E63" s="36"/>
      <c r="F63" s="39">
        <f>F49+F62</f>
        <v>444.06470503379921</v>
      </c>
      <c r="G63" s="39">
        <f>G49+G62</f>
        <v>333.33522746916651</v>
      </c>
      <c r="H63" s="39">
        <f>H49+H62</f>
        <v>110.2027548464674</v>
      </c>
      <c r="I63" s="4"/>
      <c r="J63" s="4"/>
      <c r="K63" s="4"/>
      <c r="L63" s="4"/>
      <c r="M63" s="4"/>
      <c r="N63" s="4"/>
    </row>
    <row r="64" spans="1:14" ht="13.8" x14ac:dyDescent="0.25">
      <c r="A64" s="12" t="s">
        <v>39</v>
      </c>
      <c r="B64" s="31"/>
      <c r="C64" s="141"/>
      <c r="D64" s="30"/>
      <c r="E64" s="73"/>
      <c r="F64" s="72">
        <f>F12-F63</f>
        <v>-138.2647050337992</v>
      </c>
      <c r="G64" s="72">
        <f>G12-G63</f>
        <v>-128.44922746916652</v>
      </c>
      <c r="H64" s="72">
        <f>H12-H63</f>
        <v>-9.2887548464673984</v>
      </c>
      <c r="I64" s="4"/>
      <c r="J64" s="4"/>
      <c r="K64" s="4"/>
      <c r="L64" s="4"/>
      <c r="M64" s="4"/>
      <c r="N64" s="4"/>
    </row>
    <row r="65" spans="1:14" x14ac:dyDescent="0.25">
      <c r="A65" s="4"/>
      <c r="B65" s="5"/>
      <c r="C65" s="5"/>
      <c r="D65" s="10"/>
      <c r="E65" s="36"/>
      <c r="F65" s="8"/>
      <c r="G65" s="8"/>
      <c r="H65" s="8"/>
      <c r="I65" s="4"/>
      <c r="J65" s="4"/>
      <c r="K65" s="4"/>
      <c r="L65" s="4"/>
      <c r="M65" s="4"/>
      <c r="N65" s="4"/>
    </row>
    <row r="66" spans="1:14" ht="13.8" x14ac:dyDescent="0.25">
      <c r="A66" s="113" t="s">
        <v>161</v>
      </c>
      <c r="B66" s="113"/>
      <c r="C66" s="113"/>
      <c r="D66" s="113"/>
      <c r="E66" s="114"/>
      <c r="F66" s="115">
        <f>(F64/F63)</f>
        <v>-0.31136161794996842</v>
      </c>
      <c r="G66" s="115">
        <f t="shared" ref="G66:H66" si="7">(G64/G63)</f>
        <v>-0.38534549271738183</v>
      </c>
      <c r="H66" s="115">
        <f t="shared" si="7"/>
        <v>-8.4287864304375446E-2</v>
      </c>
      <c r="I66" s="4"/>
      <c r="J66" s="4"/>
      <c r="K66" s="4"/>
      <c r="L66" s="4"/>
      <c r="M66" s="4"/>
      <c r="N66" s="4"/>
    </row>
    <row r="67" spans="1:14" x14ac:dyDescent="0.25">
      <c r="B67" s="41"/>
      <c r="C67" s="41"/>
      <c r="D67" s="46"/>
      <c r="E67" s="36"/>
      <c r="F67" s="42"/>
      <c r="G67" s="4"/>
      <c r="H67" s="4"/>
      <c r="I67" s="4"/>
      <c r="J67" s="4"/>
      <c r="K67" s="4"/>
      <c r="L67" s="4"/>
      <c r="M67" s="4"/>
      <c r="N67" s="4"/>
    </row>
    <row r="68" spans="1:14" x14ac:dyDescent="0.25">
      <c r="B68" s="4"/>
      <c r="C68" s="4"/>
      <c r="D68" s="4"/>
      <c r="E68" s="10"/>
      <c r="F68" s="4"/>
      <c r="G68" s="4"/>
      <c r="H68" s="4"/>
      <c r="I68" s="4"/>
      <c r="J68" s="4"/>
      <c r="K68" s="4"/>
      <c r="L68" s="4"/>
      <c r="M68" s="4"/>
      <c r="N68" s="4"/>
    </row>
    <row r="69" spans="1:14" x14ac:dyDescent="0.25">
      <c r="B69" s="4"/>
      <c r="C69" s="4"/>
      <c r="D69" s="4"/>
      <c r="E69" s="10"/>
      <c r="F69" s="4"/>
      <c r="G69" s="4"/>
      <c r="H69" s="4"/>
      <c r="I69" s="4"/>
      <c r="J69" s="4"/>
      <c r="K69" s="4"/>
      <c r="L69" s="4"/>
      <c r="M69" s="4"/>
      <c r="N69" s="4"/>
    </row>
    <row r="70" spans="1:14" x14ac:dyDescent="0.25">
      <c r="B70" s="4"/>
      <c r="C70" s="4"/>
      <c r="D70" s="4"/>
      <c r="E70" s="10"/>
      <c r="F70" s="4"/>
      <c r="G70" s="4"/>
      <c r="H70" s="4"/>
      <c r="I70" s="4"/>
      <c r="J70" s="4"/>
      <c r="K70" s="4"/>
      <c r="L70" s="4"/>
      <c r="M70" s="4"/>
      <c r="N70" s="4"/>
    </row>
    <row r="71" spans="1:14" x14ac:dyDescent="0.25">
      <c r="B71" s="4"/>
      <c r="C71" s="4"/>
      <c r="D71" s="4"/>
      <c r="E71" s="4"/>
      <c r="F71" s="4"/>
      <c r="G71" s="4"/>
      <c r="H71" s="4"/>
      <c r="I71" s="4"/>
      <c r="J71" s="4"/>
      <c r="K71" s="4"/>
      <c r="L71" s="4"/>
      <c r="M71" s="4"/>
      <c r="N71" s="4"/>
    </row>
    <row r="72" spans="1:14" x14ac:dyDescent="0.25">
      <c r="B72" s="4"/>
      <c r="C72" s="4"/>
      <c r="D72" s="4"/>
      <c r="E72" s="46"/>
      <c r="F72" s="4"/>
      <c r="G72" s="4"/>
      <c r="H72" s="4"/>
      <c r="I72" s="4"/>
      <c r="J72" s="4"/>
      <c r="K72" s="4"/>
      <c r="L72" s="4"/>
      <c r="M72" s="4"/>
      <c r="N72" s="4"/>
    </row>
    <row r="73" spans="1:14" x14ac:dyDescent="0.25">
      <c r="B73" s="4"/>
      <c r="C73" s="4"/>
      <c r="D73" s="4"/>
      <c r="E73" s="4"/>
      <c r="F73" s="4"/>
      <c r="G73" s="4"/>
      <c r="H73" s="4"/>
      <c r="I73" s="4"/>
      <c r="J73" s="4"/>
      <c r="K73" s="4"/>
      <c r="L73" s="4"/>
      <c r="M73" s="4"/>
      <c r="N73" s="4"/>
    </row>
    <row r="74" spans="1:14" x14ac:dyDescent="0.25">
      <c r="I74" s="4"/>
      <c r="J74" s="4"/>
      <c r="K74" s="4"/>
      <c r="L74" s="4"/>
      <c r="M74" s="4"/>
      <c r="N74" s="4"/>
    </row>
    <row r="75" spans="1:14" x14ac:dyDescent="0.25">
      <c r="J75" s="4"/>
      <c r="K75" s="4"/>
      <c r="L75" s="4"/>
      <c r="M75" s="4"/>
      <c r="N75"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9:A21">
      <formula1>Fert_Names</formula1>
    </dataValidation>
  </dataValidations>
  <printOptions horizontalCentered="1"/>
  <pageMargins left="0.25" right="0.25" top="0.75" bottom="0.75" header="0.3" footer="0.3"/>
  <pageSetup scale="78"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T72"/>
  <sheetViews>
    <sheetView showGridLines="0" showRowColHeaders="0" zoomScale="90" zoomScaleNormal="90" workbookViewId="0">
      <pane ySplit="7" topLeftCell="A8" activePane="bottomLeft" state="frozen"/>
      <selection activeCell="B17" sqref="B17"/>
      <selection pane="bottomLeft" activeCell="E18" sqref="E18"/>
    </sheetView>
  </sheetViews>
  <sheetFormatPr defaultRowHeight="13.2" x14ac:dyDescent="0.25"/>
  <cols>
    <col min="1" max="1" width="35.5546875" customWidth="1"/>
    <col min="2" max="8" width="10.5546875" customWidth="1"/>
    <col min="9" max="9" width="9.55468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114</v>
      </c>
      <c r="B3" s="319"/>
      <c r="C3" s="319"/>
      <c r="D3" s="319"/>
      <c r="E3" s="319"/>
      <c r="F3" s="319"/>
      <c r="G3" s="319"/>
      <c r="H3" s="319"/>
      <c r="I3" s="4"/>
      <c r="J3" s="4"/>
    </row>
    <row r="4" spans="1:20" ht="15" x14ac:dyDescent="0.25">
      <c r="A4" s="319" t="s">
        <v>269</v>
      </c>
      <c r="B4" s="319"/>
      <c r="C4" s="319"/>
      <c r="D4" s="319"/>
      <c r="E4" s="319"/>
      <c r="F4" s="319"/>
      <c r="G4" s="319"/>
      <c r="H4" s="319"/>
      <c r="I4" s="4"/>
      <c r="J4" s="4"/>
    </row>
    <row r="5" spans="1:20" ht="13.8" x14ac:dyDescent="0.25">
      <c r="A5" s="4"/>
      <c r="B5" s="40"/>
      <c r="C5" s="40"/>
      <c r="D5" s="40"/>
      <c r="E5" s="40"/>
      <c r="G5" s="245"/>
      <c r="H5" s="242" t="s">
        <v>102</v>
      </c>
      <c r="I5" s="69" t="s">
        <v>55</v>
      </c>
      <c r="J5" s="40"/>
      <c r="S5" s="1"/>
      <c r="T5" s="1"/>
    </row>
    <row r="6" spans="1:20" ht="13.8" x14ac:dyDescent="0.25">
      <c r="A6" s="4" t="s">
        <v>3</v>
      </c>
      <c r="B6" s="53" t="s">
        <v>4</v>
      </c>
      <c r="C6" s="53" t="s">
        <v>5</v>
      </c>
      <c r="D6" s="53" t="s">
        <v>6</v>
      </c>
      <c r="E6" s="53" t="s">
        <v>53</v>
      </c>
      <c r="F6" s="244" t="s">
        <v>151</v>
      </c>
      <c r="G6" s="244"/>
      <c r="H6" s="112" t="s">
        <v>103</v>
      </c>
      <c r="I6" s="70" t="s">
        <v>103</v>
      </c>
      <c r="J6" s="5"/>
      <c r="K6" s="1"/>
    </row>
    <row r="7" spans="1:20" x14ac:dyDescent="0.25">
      <c r="A7" s="4"/>
      <c r="B7" s="5"/>
      <c r="C7" s="5"/>
      <c r="D7" s="5"/>
      <c r="E7" s="53" t="s">
        <v>55</v>
      </c>
      <c r="F7" s="53" t="s">
        <v>56</v>
      </c>
      <c r="G7" s="53" t="s">
        <v>52</v>
      </c>
      <c r="H7" s="53" t="s">
        <v>53</v>
      </c>
      <c r="J7" s="6"/>
    </row>
    <row r="8" spans="1:20" x14ac:dyDescent="0.25">
      <c r="A8" s="4" t="s">
        <v>7</v>
      </c>
      <c r="B8" s="5"/>
      <c r="C8" s="119"/>
      <c r="D8" s="5"/>
      <c r="E8" s="5"/>
      <c r="F8" s="5"/>
      <c r="G8" s="5"/>
      <c r="H8" s="5"/>
      <c r="J8" s="6"/>
    </row>
    <row r="9" spans="1:20" x14ac:dyDescent="0.25">
      <c r="A9" s="7" t="s">
        <v>85</v>
      </c>
      <c r="B9" s="23">
        <v>225</v>
      </c>
      <c r="C9" s="128" t="s">
        <v>80</v>
      </c>
      <c r="D9" s="55">
        <f>'Universal Input Prices'!$B$6</f>
        <v>3.8</v>
      </c>
      <c r="E9" s="34">
        <v>0.33</v>
      </c>
      <c r="F9" s="39">
        <f>D9*B9</f>
        <v>855</v>
      </c>
      <c r="G9" s="39">
        <f>F9*(1-E9)</f>
        <v>572.84999999999991</v>
      </c>
      <c r="H9" s="39">
        <f>IF(H6="Cash", D58,F9*E9)</f>
        <v>120</v>
      </c>
      <c r="J9" s="8"/>
      <c r="K9" s="64"/>
      <c r="L9" s="4"/>
      <c r="M9" s="4"/>
      <c r="N9" s="4"/>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264"/>
      <c r="D11" s="8"/>
      <c r="E11" s="36"/>
      <c r="F11" s="39"/>
      <c r="G11" s="39"/>
      <c r="H11" s="39"/>
      <c r="I11" s="20"/>
      <c r="J11" s="6"/>
      <c r="K11" s="4"/>
      <c r="L11" s="4"/>
      <c r="M11" s="4"/>
      <c r="N11" s="4"/>
    </row>
    <row r="12" spans="1:20" x14ac:dyDescent="0.25">
      <c r="A12" s="4" t="s">
        <v>12</v>
      </c>
      <c r="B12" s="5"/>
      <c r="C12" s="119"/>
      <c r="D12" s="8"/>
      <c r="E12" s="36"/>
      <c r="F12" s="39">
        <f>SUM(F8:F11)</f>
        <v>855</v>
      </c>
      <c r="G12" s="39">
        <f t="shared" ref="G12:H12" si="0">SUM(G8:G11)</f>
        <v>572.84999999999991</v>
      </c>
      <c r="H12" s="39">
        <f t="shared" si="0"/>
        <v>120</v>
      </c>
      <c r="I12" s="20"/>
      <c r="J12" s="8"/>
      <c r="K12" s="4"/>
      <c r="L12" s="4"/>
      <c r="M12" s="4"/>
      <c r="N12" s="4"/>
    </row>
    <row r="13" spans="1:20" x14ac:dyDescent="0.25">
      <c r="A13" s="4"/>
      <c r="B13" s="5"/>
      <c r="C13" s="119"/>
      <c r="D13" s="8"/>
      <c r="E13" s="36"/>
      <c r="F13" s="39"/>
      <c r="G13" s="39"/>
      <c r="H13" s="39"/>
      <c r="I13" s="6"/>
      <c r="J13" s="6"/>
      <c r="K13" s="4"/>
      <c r="L13" s="4"/>
      <c r="M13" s="4"/>
      <c r="N13" s="4"/>
    </row>
    <row r="14" spans="1:20" x14ac:dyDescent="0.25">
      <c r="A14" s="4" t="s">
        <v>207</v>
      </c>
      <c r="B14" s="5"/>
      <c r="C14" s="119"/>
      <c r="D14" s="8"/>
      <c r="E14" s="36"/>
      <c r="F14" s="39"/>
      <c r="G14" s="39"/>
      <c r="H14" s="39"/>
      <c r="I14" s="6"/>
      <c r="J14" s="6"/>
      <c r="K14" s="4"/>
      <c r="L14" s="4"/>
      <c r="M14" s="4"/>
      <c r="N14" s="4"/>
    </row>
    <row r="15" spans="1:20" x14ac:dyDescent="0.25">
      <c r="A15" s="4" t="s">
        <v>1</v>
      </c>
      <c r="B15" s="5"/>
      <c r="C15" s="119"/>
      <c r="D15" s="8"/>
      <c r="E15" s="36"/>
      <c r="F15" s="39"/>
      <c r="G15" s="39"/>
      <c r="H15" s="39"/>
      <c r="I15" s="6"/>
      <c r="J15" s="6"/>
      <c r="K15" s="4"/>
      <c r="L15" s="4"/>
      <c r="M15" s="4"/>
      <c r="N15" s="4"/>
    </row>
    <row r="16" spans="1:20" x14ac:dyDescent="0.25">
      <c r="A16" s="7" t="s">
        <v>122</v>
      </c>
      <c r="B16" s="28">
        <v>0.38</v>
      </c>
      <c r="C16" s="128" t="s">
        <v>139</v>
      </c>
      <c r="D16" s="13">
        <v>280</v>
      </c>
      <c r="E16" s="34">
        <v>0</v>
      </c>
      <c r="F16" s="39">
        <f>D16*B16</f>
        <v>106.4</v>
      </c>
      <c r="G16" s="39">
        <f>F16*(1-E16)</f>
        <v>106.4</v>
      </c>
      <c r="H16" s="39">
        <f>F16*E16</f>
        <v>0</v>
      </c>
      <c r="I16" s="21"/>
      <c r="J16" s="8"/>
      <c r="K16" s="4"/>
      <c r="L16" s="4"/>
      <c r="M16" s="4"/>
      <c r="N16" s="4"/>
    </row>
    <row r="17" spans="1:14" x14ac:dyDescent="0.25">
      <c r="A17" s="4" t="s">
        <v>0</v>
      </c>
      <c r="B17" s="26"/>
      <c r="C17" s="119"/>
      <c r="D17" s="15"/>
      <c r="E17" s="36"/>
      <c r="F17" s="39"/>
      <c r="G17" s="39"/>
      <c r="H17" s="39"/>
      <c r="I17" s="6"/>
      <c r="J17" s="6"/>
      <c r="K17" s="4"/>
      <c r="L17" s="4"/>
      <c r="M17" s="4"/>
      <c r="N17" s="4"/>
    </row>
    <row r="18" spans="1:14" x14ac:dyDescent="0.25">
      <c r="A18" s="302" t="s">
        <v>255</v>
      </c>
      <c r="B18" s="24">
        <v>126</v>
      </c>
      <c r="C18" s="119" t="s">
        <v>79</v>
      </c>
      <c r="D18" s="54">
        <f>IF(A18="",0,VLOOKUP(A18,'Universal Input Prices'!$A$26:$B$30, 2))</f>
        <v>0.25000000000000006</v>
      </c>
      <c r="E18" s="34">
        <v>0.33</v>
      </c>
      <c r="F18" s="39">
        <f>D18*B18</f>
        <v>31.500000000000007</v>
      </c>
      <c r="G18" s="39">
        <f>F18*(1-E18)</f>
        <v>21.105000000000004</v>
      </c>
      <c r="H18" s="39">
        <f>F18*E18</f>
        <v>10.395000000000003</v>
      </c>
      <c r="I18" s="6"/>
      <c r="J18" s="6"/>
      <c r="K18" s="4"/>
      <c r="L18" s="4"/>
      <c r="M18" s="4"/>
      <c r="N18" s="4"/>
    </row>
    <row r="19" spans="1:14" x14ac:dyDescent="0.25">
      <c r="A19" s="302" t="s">
        <v>136</v>
      </c>
      <c r="B19" s="24">
        <v>60</v>
      </c>
      <c r="C19" s="119" t="s">
        <v>79</v>
      </c>
      <c r="D19" s="54">
        <f>IF(A19="",0,VLOOKUP(A19,'Universal Input Prices'!$A$26:$B$30, 2))</f>
        <v>0.47</v>
      </c>
      <c r="E19" s="34">
        <v>0.33</v>
      </c>
      <c r="F19" s="39">
        <f>D19*B19</f>
        <v>28.2</v>
      </c>
      <c r="G19" s="39">
        <f>F19*(1-E19)</f>
        <v>18.893999999999998</v>
      </c>
      <c r="H19" s="39">
        <f>F19*E19</f>
        <v>9.3060000000000009</v>
      </c>
      <c r="I19" s="21"/>
      <c r="J19" s="8"/>
      <c r="K19" s="4"/>
      <c r="L19" s="4"/>
      <c r="M19" s="4"/>
      <c r="N19" s="4"/>
    </row>
    <row r="20" spans="1:14" x14ac:dyDescent="0.25">
      <c r="A20" s="302" t="s">
        <v>135</v>
      </c>
      <c r="B20" s="24">
        <v>78</v>
      </c>
      <c r="C20" s="119" t="s">
        <v>79</v>
      </c>
      <c r="D20" s="54">
        <f>IF(A20="",0,VLOOKUP(A20,'Universal Input Prices'!$A$26:$B$27, 2))</f>
        <v>0.41015625</v>
      </c>
      <c r="E20" s="34">
        <v>0.33</v>
      </c>
      <c r="F20" s="39">
        <f>D20*B20</f>
        <v>31.9921875</v>
      </c>
      <c r="G20" s="39">
        <f>F20*(1-E20)</f>
        <v>21.434765624999997</v>
      </c>
      <c r="H20" s="39">
        <f>F20*E20</f>
        <v>10.557421875000001</v>
      </c>
      <c r="I20" s="21"/>
      <c r="J20" s="8"/>
      <c r="K20" s="4"/>
      <c r="L20" s="4"/>
      <c r="M20" s="4"/>
      <c r="N20" s="4"/>
    </row>
    <row r="21" spans="1:14" x14ac:dyDescent="0.25">
      <c r="A21" s="4" t="s">
        <v>15</v>
      </c>
      <c r="B21" s="27"/>
      <c r="C21" s="119"/>
      <c r="D21" s="8"/>
      <c r="E21" s="36"/>
      <c r="F21" s="39"/>
      <c r="G21" s="39"/>
      <c r="H21" s="39"/>
      <c r="I21" s="6"/>
      <c r="J21" s="6"/>
      <c r="K21" s="4"/>
      <c r="L21" s="4"/>
      <c r="M21" s="4"/>
      <c r="N21" s="4"/>
    </row>
    <row r="22" spans="1:14" x14ac:dyDescent="0.25">
      <c r="A22" s="2" t="s">
        <v>275</v>
      </c>
      <c r="B22" s="24">
        <v>1</v>
      </c>
      <c r="C22" s="119" t="s">
        <v>14</v>
      </c>
      <c r="D22" s="14">
        <v>17.399999999999999</v>
      </c>
      <c r="E22" s="34">
        <v>0.33</v>
      </c>
      <c r="F22" s="39">
        <f t="shared" ref="F22:F36" si="1">D22*B22</f>
        <v>17.399999999999999</v>
      </c>
      <c r="G22" s="39">
        <f t="shared" ref="G22:G44" si="2">F22*(1-E22)</f>
        <v>11.657999999999998</v>
      </c>
      <c r="H22" s="39">
        <f t="shared" ref="H22:H44" si="3">F22*E22</f>
        <v>5.742</v>
      </c>
      <c r="I22" s="21"/>
      <c r="J22" s="8"/>
      <c r="K22" s="4"/>
      <c r="L22" s="4"/>
      <c r="M22" s="4"/>
      <c r="N22" s="4"/>
    </row>
    <row r="23" spans="1:14" x14ac:dyDescent="0.25">
      <c r="A23" s="7" t="s">
        <v>43</v>
      </c>
      <c r="B23" s="24">
        <v>1</v>
      </c>
      <c r="C23" s="119" t="s">
        <v>14</v>
      </c>
      <c r="D23" s="14">
        <v>15</v>
      </c>
      <c r="E23" s="34">
        <v>0.33</v>
      </c>
      <c r="F23" s="39">
        <f t="shared" si="1"/>
        <v>15</v>
      </c>
      <c r="G23" s="39">
        <f t="shared" si="2"/>
        <v>10.049999999999999</v>
      </c>
      <c r="H23" s="39">
        <f t="shared" si="3"/>
        <v>4.95</v>
      </c>
      <c r="I23" s="21"/>
      <c r="J23" s="8"/>
      <c r="K23" s="4"/>
      <c r="L23" s="4"/>
      <c r="M23" s="4"/>
      <c r="N23" s="4"/>
    </row>
    <row r="24" spans="1:14" x14ac:dyDescent="0.25">
      <c r="A24" s="2" t="s">
        <v>237</v>
      </c>
      <c r="B24" s="24">
        <v>1</v>
      </c>
      <c r="C24" s="119" t="s">
        <v>14</v>
      </c>
      <c r="D24" s="14">
        <v>21</v>
      </c>
      <c r="E24" s="34">
        <v>0.33</v>
      </c>
      <c r="F24" s="39">
        <f t="shared" si="1"/>
        <v>21</v>
      </c>
      <c r="G24" s="39">
        <f t="shared" si="2"/>
        <v>14.069999999999999</v>
      </c>
      <c r="H24" s="39">
        <f t="shared" si="3"/>
        <v>6.9300000000000006</v>
      </c>
      <c r="I24" s="21"/>
      <c r="J24" s="8"/>
      <c r="K24" s="4"/>
      <c r="L24" s="4"/>
      <c r="M24" s="4"/>
      <c r="N24" s="4"/>
    </row>
    <row r="25" spans="1:14" x14ac:dyDescent="0.25">
      <c r="A25" s="7" t="s">
        <v>47</v>
      </c>
      <c r="B25" s="29">
        <f>$B$9</f>
        <v>225</v>
      </c>
      <c r="C25" s="119" t="s">
        <v>80</v>
      </c>
      <c r="D25" s="14">
        <v>0.4</v>
      </c>
      <c r="E25" s="34">
        <v>0</v>
      </c>
      <c r="F25" s="39">
        <f t="shared" si="1"/>
        <v>90</v>
      </c>
      <c r="G25" s="39">
        <f t="shared" si="2"/>
        <v>90</v>
      </c>
      <c r="H25" s="39">
        <f t="shared" si="3"/>
        <v>0</v>
      </c>
      <c r="I25" s="21"/>
      <c r="J25" s="8"/>
      <c r="K25" s="4"/>
      <c r="L25" s="4"/>
      <c r="M25" s="4"/>
      <c r="N25" s="4"/>
    </row>
    <row r="26" spans="1:14" x14ac:dyDescent="0.25">
      <c r="A26" s="7" t="s">
        <v>49</v>
      </c>
      <c r="B26" s="24">
        <v>1</v>
      </c>
      <c r="C26" s="119" t="s">
        <v>14</v>
      </c>
      <c r="D26" s="14">
        <v>8</v>
      </c>
      <c r="E26" s="34">
        <v>0</v>
      </c>
      <c r="F26" s="39">
        <f t="shared" si="1"/>
        <v>8</v>
      </c>
      <c r="G26" s="39">
        <f t="shared" si="2"/>
        <v>8</v>
      </c>
      <c r="H26" s="39">
        <f t="shared" si="3"/>
        <v>0</v>
      </c>
      <c r="I26" s="21"/>
      <c r="J26" s="8"/>
      <c r="K26" s="4"/>
      <c r="L26" s="4"/>
      <c r="M26" s="4"/>
      <c r="N26" s="4"/>
    </row>
    <row r="27" spans="1:14" x14ac:dyDescent="0.25">
      <c r="A27" s="2" t="s">
        <v>21</v>
      </c>
      <c r="B27" s="24">
        <v>1</v>
      </c>
      <c r="C27" s="119" t="s">
        <v>14</v>
      </c>
      <c r="D27" s="14">
        <v>0</v>
      </c>
      <c r="E27" s="34">
        <v>0</v>
      </c>
      <c r="F27" s="39">
        <f>D27*B27</f>
        <v>0</v>
      </c>
      <c r="G27" s="39">
        <f>F27*(1-E27)</f>
        <v>0</v>
      </c>
      <c r="H27" s="39">
        <f>F27*E27</f>
        <v>0</v>
      </c>
      <c r="I27" s="21"/>
      <c r="J27" s="8"/>
      <c r="K27" s="4"/>
      <c r="L27" s="4"/>
      <c r="M27" s="4"/>
      <c r="N27" s="4"/>
    </row>
    <row r="28" spans="1:14" x14ac:dyDescent="0.25">
      <c r="A28" s="291" t="s">
        <v>276</v>
      </c>
      <c r="B28" s="24">
        <v>1</v>
      </c>
      <c r="C28" s="265" t="s">
        <v>14</v>
      </c>
      <c r="D28" s="14">
        <v>15.7</v>
      </c>
      <c r="E28" s="34">
        <v>0</v>
      </c>
      <c r="F28" s="39">
        <f t="shared" si="1"/>
        <v>15.7</v>
      </c>
      <c r="G28" s="39">
        <f t="shared" si="2"/>
        <v>15.7</v>
      </c>
      <c r="H28" s="39">
        <f t="shared" si="3"/>
        <v>0</v>
      </c>
      <c r="I28" s="21"/>
      <c r="J28" s="8"/>
      <c r="K28" s="4"/>
      <c r="L28" s="4"/>
      <c r="M28" s="4"/>
      <c r="N28" s="4"/>
    </row>
    <row r="29" spans="1:14" x14ac:dyDescent="0.25">
      <c r="A29" s="16" t="s">
        <v>40</v>
      </c>
      <c r="B29" s="24">
        <v>1</v>
      </c>
      <c r="C29" s="265" t="s">
        <v>14</v>
      </c>
      <c r="D29" s="14">
        <v>0</v>
      </c>
      <c r="E29" s="34">
        <v>0</v>
      </c>
      <c r="F29" s="39">
        <f t="shared" si="1"/>
        <v>0</v>
      </c>
      <c r="G29" s="39">
        <f t="shared" si="2"/>
        <v>0</v>
      </c>
      <c r="H29" s="39">
        <f t="shared" si="3"/>
        <v>0</v>
      </c>
      <c r="I29" s="21"/>
      <c r="J29" s="8"/>
      <c r="K29" s="4"/>
      <c r="L29" s="4"/>
      <c r="M29" s="4"/>
      <c r="N29" s="4"/>
    </row>
    <row r="30" spans="1:14" x14ac:dyDescent="0.25">
      <c r="A30" s="16" t="s">
        <v>40</v>
      </c>
      <c r="B30" s="24">
        <v>1</v>
      </c>
      <c r="C30" s="265" t="s">
        <v>14</v>
      </c>
      <c r="D30" s="14">
        <v>0</v>
      </c>
      <c r="E30" s="34">
        <v>0</v>
      </c>
      <c r="F30" s="39">
        <f t="shared" si="1"/>
        <v>0</v>
      </c>
      <c r="G30" s="39">
        <f t="shared" si="2"/>
        <v>0</v>
      </c>
      <c r="H30" s="39">
        <f t="shared" si="3"/>
        <v>0</v>
      </c>
      <c r="I30" s="21"/>
      <c r="J30" s="8"/>
      <c r="K30" s="4"/>
      <c r="L30" s="4"/>
      <c r="M30" s="4"/>
      <c r="N30" s="4"/>
    </row>
    <row r="31" spans="1:14" x14ac:dyDescent="0.25">
      <c r="A31" s="4" t="s">
        <v>22</v>
      </c>
      <c r="B31" s="24">
        <v>1</v>
      </c>
      <c r="C31" s="119" t="s">
        <v>14</v>
      </c>
      <c r="D31" s="14">
        <v>36.5</v>
      </c>
      <c r="E31" s="34">
        <v>0.33</v>
      </c>
      <c r="F31" s="39">
        <f t="shared" si="1"/>
        <v>36.5</v>
      </c>
      <c r="G31" s="39">
        <f t="shared" si="2"/>
        <v>24.454999999999998</v>
      </c>
      <c r="H31" s="39">
        <f t="shared" si="3"/>
        <v>12.045</v>
      </c>
      <c r="I31" s="21"/>
      <c r="J31" s="8"/>
      <c r="K31" s="4"/>
      <c r="L31" s="4"/>
      <c r="M31" s="4"/>
      <c r="N31" s="4"/>
    </row>
    <row r="32" spans="1:14" x14ac:dyDescent="0.25">
      <c r="A32" s="4" t="s">
        <v>140</v>
      </c>
      <c r="B32" s="28">
        <v>0.97499999999999998</v>
      </c>
      <c r="C32" s="119" t="s">
        <v>48</v>
      </c>
      <c r="D32" s="55">
        <f>'Universal Input Prices'!$B$31</f>
        <v>12.45</v>
      </c>
      <c r="E32" s="34">
        <v>0</v>
      </c>
      <c r="F32" s="39">
        <f t="shared" si="1"/>
        <v>12.138749999999998</v>
      </c>
      <c r="G32" s="39">
        <f t="shared" si="2"/>
        <v>12.138749999999998</v>
      </c>
      <c r="H32" s="39">
        <f t="shared" si="3"/>
        <v>0</v>
      </c>
      <c r="I32" s="21"/>
      <c r="J32" s="8"/>
      <c r="K32" s="4"/>
      <c r="L32" s="4"/>
      <c r="M32" s="4"/>
      <c r="N32" s="4"/>
    </row>
    <row r="33" spans="1:14" x14ac:dyDescent="0.25">
      <c r="A33" s="4" t="s">
        <v>24</v>
      </c>
      <c r="B33" s="28">
        <v>1.41</v>
      </c>
      <c r="C33" s="119" t="s">
        <v>23</v>
      </c>
      <c r="D33" s="55">
        <f>'Universal Input Prices'!$B$31</f>
        <v>12.45</v>
      </c>
      <c r="E33" s="34">
        <v>0</v>
      </c>
      <c r="F33" s="39">
        <f t="shared" si="1"/>
        <v>17.554499999999997</v>
      </c>
      <c r="G33" s="39">
        <f t="shared" si="2"/>
        <v>17.554499999999997</v>
      </c>
      <c r="H33" s="39">
        <f t="shared" si="3"/>
        <v>0</v>
      </c>
      <c r="I33" s="21"/>
      <c r="J33" s="8"/>
      <c r="K33" s="4"/>
      <c r="L33" s="4"/>
      <c r="M33" s="4"/>
      <c r="N33" s="4"/>
    </row>
    <row r="34" spans="1:14" x14ac:dyDescent="0.25">
      <c r="A34" s="4" t="s">
        <v>25</v>
      </c>
      <c r="B34" s="28">
        <v>2.66</v>
      </c>
      <c r="C34" s="119" t="s">
        <v>26</v>
      </c>
      <c r="D34" s="55">
        <f>'Universal Input Prices'!$B$32</f>
        <v>1.81</v>
      </c>
      <c r="E34" s="34">
        <v>0</v>
      </c>
      <c r="F34" s="39">
        <f t="shared" si="1"/>
        <v>4.8146000000000004</v>
      </c>
      <c r="G34" s="39">
        <f t="shared" si="2"/>
        <v>4.8146000000000004</v>
      </c>
      <c r="H34" s="39">
        <f t="shared" si="3"/>
        <v>0</v>
      </c>
      <c r="I34" s="21"/>
      <c r="J34" s="8"/>
      <c r="K34" s="4"/>
      <c r="L34" s="4"/>
      <c r="M34" s="4"/>
      <c r="N34" s="4"/>
    </row>
    <row r="35" spans="1:14" x14ac:dyDescent="0.25">
      <c r="A35" s="4" t="s">
        <v>27</v>
      </c>
      <c r="B35" s="186">
        <v>3.0738462000000002</v>
      </c>
      <c r="C35" s="119" t="s">
        <v>26</v>
      </c>
      <c r="D35" s="55">
        <f>'Universal Input Prices'!$B$33</f>
        <v>1.9259999999999999</v>
      </c>
      <c r="E35" s="34">
        <v>0</v>
      </c>
      <c r="F35" s="39">
        <f t="shared" si="1"/>
        <v>5.9202277812000004</v>
      </c>
      <c r="G35" s="39">
        <f t="shared" si="2"/>
        <v>5.9202277812000004</v>
      </c>
      <c r="H35" s="39">
        <f t="shared" si="3"/>
        <v>0</v>
      </c>
      <c r="I35" s="21"/>
      <c r="J35" s="8"/>
      <c r="K35" s="4"/>
      <c r="L35" s="4"/>
      <c r="M35" s="4"/>
      <c r="N35" s="4"/>
    </row>
    <row r="36" spans="1:14" x14ac:dyDescent="0.25">
      <c r="A36" s="4" t="s">
        <v>28</v>
      </c>
      <c r="B36" s="28">
        <v>22</v>
      </c>
      <c r="C36" s="119" t="s">
        <v>29</v>
      </c>
      <c r="D36" s="55">
        <f>'Universal Input Prices'!$B$34</f>
        <v>3.6</v>
      </c>
      <c r="E36" s="34">
        <v>0.33</v>
      </c>
      <c r="F36" s="39">
        <f t="shared" si="1"/>
        <v>79.2</v>
      </c>
      <c r="G36" s="39">
        <f t="shared" si="2"/>
        <v>53.063999999999993</v>
      </c>
      <c r="H36" s="39">
        <f t="shared" si="3"/>
        <v>26.136000000000003</v>
      </c>
      <c r="I36" s="21"/>
      <c r="J36" s="8"/>
      <c r="K36" s="4"/>
      <c r="L36" s="4"/>
      <c r="M36" s="4"/>
      <c r="N36" s="4"/>
    </row>
    <row r="37" spans="1:14" hidden="1" x14ac:dyDescent="0.25">
      <c r="A37" s="4" t="s">
        <v>248</v>
      </c>
      <c r="B37" s="28">
        <v>69.14</v>
      </c>
      <c r="C37" s="119"/>
      <c r="D37" s="55"/>
      <c r="E37" s="34"/>
      <c r="F37" s="39"/>
      <c r="G37" s="39"/>
      <c r="H37" s="39"/>
      <c r="I37" s="4"/>
    </row>
    <row r="38" spans="1:14" hidden="1" x14ac:dyDescent="0.25">
      <c r="A38" s="4" t="s">
        <v>249</v>
      </c>
      <c r="B38" s="48">
        <f>B36*18.85694/B37</f>
        <v>6.0001833960080999</v>
      </c>
      <c r="C38" s="119"/>
      <c r="D38" s="55"/>
      <c r="E38" s="34"/>
      <c r="F38" s="39"/>
      <c r="G38" s="39"/>
      <c r="H38" s="39"/>
      <c r="I38" s="4"/>
    </row>
    <row r="39" spans="1:14" x14ac:dyDescent="0.25">
      <c r="A39" s="4" t="s">
        <v>30</v>
      </c>
      <c r="B39" s="5"/>
      <c r="C39" s="119"/>
      <c r="D39" s="15"/>
      <c r="E39" s="36"/>
      <c r="F39" s="39"/>
      <c r="G39" s="39"/>
      <c r="H39" s="39"/>
      <c r="I39" s="6"/>
      <c r="J39" s="6"/>
      <c r="K39" s="4"/>
      <c r="L39" s="4"/>
      <c r="M39" s="4"/>
      <c r="N39" s="4"/>
    </row>
    <row r="40" spans="1:14" x14ac:dyDescent="0.25">
      <c r="A40" s="7" t="s">
        <v>31</v>
      </c>
      <c r="B40" s="5">
        <v>1</v>
      </c>
      <c r="C40" s="119" t="s">
        <v>14</v>
      </c>
      <c r="D40" s="14">
        <v>10.78</v>
      </c>
      <c r="E40" s="34">
        <v>0</v>
      </c>
      <c r="F40" s="39">
        <f>D40*B40</f>
        <v>10.78</v>
      </c>
      <c r="G40" s="39">
        <f t="shared" si="2"/>
        <v>10.78</v>
      </c>
      <c r="H40" s="39">
        <f t="shared" si="3"/>
        <v>0</v>
      </c>
      <c r="I40" s="21"/>
      <c r="J40" s="8"/>
      <c r="K40" s="4"/>
      <c r="L40" s="4"/>
      <c r="M40" s="4"/>
      <c r="N40" s="4"/>
    </row>
    <row r="41" spans="1:14" x14ac:dyDescent="0.25">
      <c r="A41" s="7" t="s">
        <v>2</v>
      </c>
      <c r="B41" s="5">
        <v>1</v>
      </c>
      <c r="C41" s="119" t="s">
        <v>14</v>
      </c>
      <c r="D41" s="14">
        <v>4.8899999999999997</v>
      </c>
      <c r="E41" s="34">
        <v>0</v>
      </c>
      <c r="F41" s="39">
        <f>D41*B41</f>
        <v>4.8899999999999997</v>
      </c>
      <c r="G41" s="39">
        <f t="shared" si="2"/>
        <v>4.8899999999999997</v>
      </c>
      <c r="H41" s="39">
        <f t="shared" si="3"/>
        <v>0</v>
      </c>
      <c r="I41" s="21"/>
      <c r="J41" s="8"/>
      <c r="K41" s="4"/>
      <c r="L41" s="4"/>
      <c r="M41" s="4"/>
      <c r="N41" s="4"/>
    </row>
    <row r="42" spans="1:14" x14ac:dyDescent="0.25">
      <c r="A42" s="7" t="s">
        <v>32</v>
      </c>
      <c r="B42" s="5">
        <f>Corn_Inches</f>
        <v>22</v>
      </c>
      <c r="C42" s="119" t="s">
        <v>29</v>
      </c>
      <c r="D42" s="14">
        <v>4.04</v>
      </c>
      <c r="E42" s="34">
        <v>0</v>
      </c>
      <c r="F42" s="39">
        <f>D42*B42</f>
        <v>88.88</v>
      </c>
      <c r="G42" s="39">
        <f t="shared" si="2"/>
        <v>88.88</v>
      </c>
      <c r="H42" s="39">
        <f t="shared" si="3"/>
        <v>0</v>
      </c>
      <c r="I42" s="21"/>
      <c r="J42" s="8"/>
      <c r="K42" s="4"/>
      <c r="L42" s="4"/>
      <c r="M42" s="4"/>
      <c r="N42" s="4"/>
    </row>
    <row r="43" spans="1:14" x14ac:dyDescent="0.25">
      <c r="A43" s="7" t="s">
        <v>204</v>
      </c>
      <c r="B43" s="5">
        <v>1</v>
      </c>
      <c r="C43" s="119" t="s">
        <v>14</v>
      </c>
      <c r="D43" s="14">
        <v>0</v>
      </c>
      <c r="E43" s="34">
        <v>1</v>
      </c>
      <c r="F43" s="39">
        <f>D43*B43</f>
        <v>0</v>
      </c>
      <c r="G43" s="39">
        <f t="shared" si="2"/>
        <v>0</v>
      </c>
      <c r="H43" s="39">
        <f t="shared" si="3"/>
        <v>0</v>
      </c>
      <c r="I43" s="21"/>
      <c r="J43" s="8"/>
      <c r="K43" s="4"/>
      <c r="L43" s="4"/>
      <c r="M43" s="4"/>
      <c r="N43" s="4"/>
    </row>
    <row r="44" spans="1:14" x14ac:dyDescent="0.25">
      <c r="A44" s="7" t="s">
        <v>33</v>
      </c>
      <c r="B44" s="5">
        <v>1</v>
      </c>
      <c r="C44" s="119" t="s">
        <v>14</v>
      </c>
      <c r="D44" s="14">
        <v>3.76</v>
      </c>
      <c r="E44" s="34">
        <v>0</v>
      </c>
      <c r="F44" s="39">
        <f>D44*B44</f>
        <v>3.76</v>
      </c>
      <c r="G44" s="39">
        <f t="shared" si="2"/>
        <v>3.76</v>
      </c>
      <c r="H44" s="39">
        <f t="shared" si="3"/>
        <v>0</v>
      </c>
      <c r="I44" s="21"/>
      <c r="J44" s="8"/>
      <c r="K44" s="4"/>
      <c r="L44" s="4"/>
      <c r="M44" s="4"/>
      <c r="N44" s="4"/>
    </row>
    <row r="45" spans="1:14" x14ac:dyDescent="0.25">
      <c r="A45" s="4" t="s">
        <v>34</v>
      </c>
      <c r="B45" s="89">
        <f>'Universal Input Prices'!$B$35</f>
        <v>5.3999999999999999E-2</v>
      </c>
      <c r="C45" s="119"/>
      <c r="D45" s="22"/>
      <c r="E45" s="36"/>
      <c r="F45" s="158">
        <f>(SUM(F16:F24,F26:F44))*$B45/2.95</f>
        <v>9.8779777373507773</v>
      </c>
      <c r="G45" s="158">
        <f t="shared" ref="G45:H45" si="4">(SUM(G16:G24,G26:G44))*$B45/2</f>
        <v>12.246358771967401</v>
      </c>
      <c r="H45" s="158">
        <f t="shared" si="4"/>
        <v>2.3236583906250003</v>
      </c>
      <c r="I45" s="21"/>
      <c r="J45" s="8"/>
      <c r="K45" s="4"/>
      <c r="L45" s="4"/>
      <c r="M45" s="4"/>
      <c r="N45" s="4"/>
    </row>
    <row r="46" spans="1:14" x14ac:dyDescent="0.25">
      <c r="A46" s="4"/>
      <c r="B46" s="10"/>
      <c r="C46" s="119"/>
      <c r="D46" s="8"/>
      <c r="E46" s="36"/>
      <c r="F46" s="39"/>
      <c r="G46" s="39"/>
      <c r="H46" s="39"/>
      <c r="I46" s="6"/>
      <c r="J46" s="6"/>
      <c r="K46" s="4"/>
      <c r="L46" s="4"/>
      <c r="M46" s="4"/>
      <c r="N46" s="4"/>
    </row>
    <row r="47" spans="1:14" x14ac:dyDescent="0.25">
      <c r="A47" s="4" t="s">
        <v>205</v>
      </c>
      <c r="B47" s="10"/>
      <c r="C47" s="119"/>
      <c r="D47" s="8"/>
      <c r="E47" s="36"/>
      <c r="F47" s="39">
        <f>SUM(F16:F45)</f>
        <v>639.50824301855073</v>
      </c>
      <c r="G47" s="39">
        <f>SUM(G16:G45)</f>
        <v>555.81520217816728</v>
      </c>
      <c r="H47" s="39">
        <f>SUM(H16:H45)</f>
        <v>88.385080265625007</v>
      </c>
      <c r="I47" s="11"/>
      <c r="J47" s="8"/>
      <c r="K47" s="4"/>
      <c r="L47" s="4"/>
      <c r="M47" s="4"/>
      <c r="N47" s="4"/>
    </row>
    <row r="48" spans="1:14" ht="13.8" x14ac:dyDescent="0.25">
      <c r="A48" s="12" t="s">
        <v>206</v>
      </c>
      <c r="B48" s="10"/>
      <c r="C48" s="119"/>
      <c r="D48" s="8"/>
      <c r="E48" s="36"/>
      <c r="F48" s="72">
        <f>F12-F47</f>
        <v>215.49175698144927</v>
      </c>
      <c r="G48" s="72">
        <f>G12-G47</f>
        <v>17.034797821832626</v>
      </c>
      <c r="H48" s="72">
        <f>H12-H47</f>
        <v>31.614919734374993</v>
      </c>
      <c r="I48" s="11"/>
      <c r="J48" s="8"/>
      <c r="K48" s="4"/>
      <c r="L48" s="4"/>
      <c r="M48" s="4"/>
      <c r="N48" s="4"/>
    </row>
    <row r="49" spans="1:14" x14ac:dyDescent="0.25">
      <c r="A49" s="4"/>
      <c r="B49" s="10"/>
      <c r="C49" s="119"/>
      <c r="D49" s="8"/>
      <c r="E49" s="36"/>
      <c r="F49" s="39"/>
      <c r="G49" s="39"/>
      <c r="H49" s="39"/>
      <c r="I49" s="11"/>
      <c r="J49" s="8"/>
      <c r="K49" s="4"/>
      <c r="L49" s="4"/>
      <c r="M49" s="4"/>
      <c r="N49" s="4"/>
    </row>
    <row r="50" spans="1:14" x14ac:dyDescent="0.25">
      <c r="A50" s="4" t="s">
        <v>208</v>
      </c>
      <c r="B50" s="10"/>
      <c r="C50" s="119"/>
      <c r="D50" s="8"/>
      <c r="E50" s="36"/>
      <c r="F50" s="39"/>
      <c r="G50" s="39"/>
      <c r="H50" s="39"/>
      <c r="I50" s="11"/>
      <c r="J50" s="6"/>
      <c r="K50" s="4"/>
      <c r="L50" s="4"/>
      <c r="M50" s="4"/>
      <c r="N50" s="4"/>
    </row>
    <row r="51" spans="1:14" x14ac:dyDescent="0.25">
      <c r="A51" s="7" t="s">
        <v>31</v>
      </c>
      <c r="B51" s="5">
        <v>1</v>
      </c>
      <c r="C51" s="119" t="s">
        <v>14</v>
      </c>
      <c r="D51" s="14">
        <v>16.920000000000002</v>
      </c>
      <c r="E51" s="34">
        <v>0</v>
      </c>
      <c r="F51" s="39">
        <f t="shared" ref="F51:F59" si="5">D51*B51</f>
        <v>16.920000000000002</v>
      </c>
      <c r="G51" s="39">
        <f t="shared" ref="G51:G59" si="6">F51*(1-E51)</f>
        <v>16.920000000000002</v>
      </c>
      <c r="H51" s="39">
        <f t="shared" ref="H51:H59" si="7">F51*E51</f>
        <v>0</v>
      </c>
      <c r="I51" s="21"/>
      <c r="J51" s="8"/>
      <c r="K51" s="4"/>
      <c r="L51" s="4"/>
      <c r="M51" s="4"/>
      <c r="N51" s="4"/>
    </row>
    <row r="52" spans="1:14" x14ac:dyDescent="0.25">
      <c r="A52" s="7" t="s">
        <v>2</v>
      </c>
      <c r="B52" s="5">
        <v>1</v>
      </c>
      <c r="C52" s="119" t="s">
        <v>14</v>
      </c>
      <c r="D52" s="14">
        <v>6.95</v>
      </c>
      <c r="E52" s="34">
        <v>0</v>
      </c>
      <c r="F52" s="39">
        <f t="shared" si="5"/>
        <v>6.95</v>
      </c>
      <c r="G52" s="39">
        <f t="shared" si="6"/>
        <v>6.95</v>
      </c>
      <c r="H52" s="39">
        <f t="shared" si="7"/>
        <v>0</v>
      </c>
      <c r="I52" s="21"/>
      <c r="J52" s="8"/>
      <c r="K52" s="4"/>
      <c r="L52" s="4"/>
      <c r="M52" s="4"/>
      <c r="N52" s="4"/>
    </row>
    <row r="53" spans="1:14" x14ac:dyDescent="0.25">
      <c r="A53" s="2" t="s">
        <v>273</v>
      </c>
      <c r="B53" s="5">
        <v>1</v>
      </c>
      <c r="C53" s="119" t="s">
        <v>14</v>
      </c>
      <c r="D53" s="14">
        <v>47.34</v>
      </c>
      <c r="E53" s="34">
        <v>0</v>
      </c>
      <c r="F53" s="39">
        <f t="shared" si="5"/>
        <v>47.34</v>
      </c>
      <c r="G53" s="39">
        <f t="shared" si="6"/>
        <v>47.34</v>
      </c>
      <c r="H53" s="39">
        <f t="shared" si="7"/>
        <v>0</v>
      </c>
      <c r="I53" s="21"/>
      <c r="J53" s="8"/>
      <c r="K53" s="4"/>
      <c r="L53" s="4"/>
      <c r="M53" s="4"/>
      <c r="N53" s="4"/>
    </row>
    <row r="54" spans="1:14" x14ac:dyDescent="0.25">
      <c r="A54" s="7" t="s">
        <v>204</v>
      </c>
      <c r="B54" s="5">
        <v>1</v>
      </c>
      <c r="C54" s="119" t="s">
        <v>14</v>
      </c>
      <c r="D54" s="14">
        <v>0</v>
      </c>
      <c r="E54" s="34">
        <v>1</v>
      </c>
      <c r="F54" s="39">
        <f t="shared" si="5"/>
        <v>0</v>
      </c>
      <c r="G54" s="39">
        <f t="shared" si="6"/>
        <v>0</v>
      </c>
      <c r="H54" s="39">
        <f t="shared" si="7"/>
        <v>0</v>
      </c>
      <c r="I54" s="21"/>
      <c r="J54" s="8"/>
      <c r="K54" s="4"/>
      <c r="L54" s="4"/>
      <c r="M54" s="4"/>
      <c r="N54" s="4"/>
    </row>
    <row r="55" spans="1:14" x14ac:dyDescent="0.25">
      <c r="A55" s="7" t="s">
        <v>33</v>
      </c>
      <c r="B55" s="5">
        <v>1</v>
      </c>
      <c r="C55" s="119" t="s">
        <v>14</v>
      </c>
      <c r="D55" s="87">
        <v>5.49</v>
      </c>
      <c r="E55" s="34">
        <v>0</v>
      </c>
      <c r="F55" s="39">
        <f t="shared" si="5"/>
        <v>5.49</v>
      </c>
      <c r="G55" s="39">
        <f t="shared" si="6"/>
        <v>5.49</v>
      </c>
      <c r="H55" s="39">
        <f t="shared" si="7"/>
        <v>0</v>
      </c>
      <c r="I55" s="21"/>
      <c r="J55" s="8"/>
      <c r="K55" s="4"/>
      <c r="L55" s="4"/>
      <c r="M55" s="4"/>
      <c r="N55" s="4"/>
    </row>
    <row r="56" spans="1:14" x14ac:dyDescent="0.25">
      <c r="A56" s="7" t="s">
        <v>35</v>
      </c>
      <c r="B56" s="5">
        <v>1</v>
      </c>
      <c r="C56" s="119" t="s">
        <v>14</v>
      </c>
      <c r="D56" s="14">
        <v>0</v>
      </c>
      <c r="E56" s="34">
        <v>0</v>
      </c>
      <c r="F56" s="39">
        <f t="shared" si="5"/>
        <v>0</v>
      </c>
      <c r="G56" s="39">
        <f t="shared" si="6"/>
        <v>0</v>
      </c>
      <c r="H56" s="39">
        <f t="shared" si="7"/>
        <v>0</v>
      </c>
      <c r="I56" s="21"/>
      <c r="J56" s="8"/>
      <c r="K56" s="4"/>
      <c r="L56" s="4"/>
      <c r="M56" s="4"/>
      <c r="N56" s="4"/>
    </row>
    <row r="57" spans="1:14" x14ac:dyDescent="0.25">
      <c r="A57" s="2" t="s">
        <v>272</v>
      </c>
      <c r="B57" s="5">
        <v>1</v>
      </c>
      <c r="C57" s="119" t="s">
        <v>14</v>
      </c>
      <c r="D57" s="14">
        <v>32.299999999999997</v>
      </c>
      <c r="E57" s="34">
        <v>0</v>
      </c>
      <c r="F57" s="39">
        <f t="shared" si="5"/>
        <v>32.299999999999997</v>
      </c>
      <c r="G57" s="39">
        <f t="shared" si="6"/>
        <v>32.299999999999997</v>
      </c>
      <c r="H57" s="39">
        <f t="shared" si="7"/>
        <v>0</v>
      </c>
      <c r="I57" s="65"/>
      <c r="J57" s="8"/>
      <c r="K57" s="4"/>
      <c r="L57" s="4"/>
      <c r="M57" s="4"/>
      <c r="N57" s="4"/>
    </row>
    <row r="58" spans="1:14" x14ac:dyDescent="0.25">
      <c r="A58" s="7" t="s">
        <v>36</v>
      </c>
      <c r="B58" s="43">
        <v>1</v>
      </c>
      <c r="C58" s="119" t="s">
        <v>14</v>
      </c>
      <c r="D58" s="14">
        <v>120</v>
      </c>
      <c r="E58" s="34">
        <v>1</v>
      </c>
      <c r="F58" s="39">
        <f t="shared" si="5"/>
        <v>120</v>
      </c>
      <c r="G58" s="39">
        <f>IF($H$6="Cash",D58,F58*(1-E58))</f>
        <v>120</v>
      </c>
      <c r="H58" s="39">
        <f>IF($H$6="Cash",0,F58*E58)</f>
        <v>0</v>
      </c>
      <c r="I58" s="21"/>
      <c r="J58" s="8"/>
      <c r="K58" s="4"/>
      <c r="L58" s="4"/>
      <c r="M58" s="4"/>
      <c r="N58" s="4"/>
    </row>
    <row r="59" spans="1:14" x14ac:dyDescent="0.25">
      <c r="A59" s="7" t="s">
        <v>42</v>
      </c>
      <c r="B59" s="43">
        <v>1</v>
      </c>
      <c r="C59" s="119" t="s">
        <v>14</v>
      </c>
      <c r="D59" s="14">
        <v>0</v>
      </c>
      <c r="E59" s="34">
        <v>1</v>
      </c>
      <c r="F59" s="39">
        <f t="shared" si="5"/>
        <v>0</v>
      </c>
      <c r="G59" s="39">
        <f t="shared" si="6"/>
        <v>0</v>
      </c>
      <c r="H59" s="39">
        <f t="shared" si="7"/>
        <v>0</v>
      </c>
      <c r="I59" s="65"/>
      <c r="J59" s="8"/>
      <c r="K59" s="4"/>
      <c r="L59" s="4"/>
      <c r="M59" s="4"/>
      <c r="N59" s="4"/>
    </row>
    <row r="60" spans="1:14" x14ac:dyDescent="0.25">
      <c r="A60" s="4" t="s">
        <v>37</v>
      </c>
      <c r="B60" s="5"/>
      <c r="C60" s="119"/>
      <c r="D60" s="10"/>
      <c r="E60" s="36"/>
      <c r="F60" s="39">
        <f>SUM(F51:F59)</f>
        <v>229</v>
      </c>
      <c r="G60" s="39">
        <f>SUM(G51:G59)</f>
        <v>229</v>
      </c>
      <c r="H60" s="39">
        <f>SUM(H51:H59)</f>
        <v>0</v>
      </c>
      <c r="I60" s="6"/>
      <c r="J60" s="8"/>
      <c r="K60" s="4"/>
      <c r="L60" s="4"/>
      <c r="M60" s="4"/>
      <c r="N60" s="4"/>
    </row>
    <row r="61" spans="1:14" x14ac:dyDescent="0.25">
      <c r="A61" s="4" t="s">
        <v>38</v>
      </c>
      <c r="B61" s="5"/>
      <c r="C61" s="119"/>
      <c r="D61" s="10"/>
      <c r="E61" s="36"/>
      <c r="F61" s="39">
        <f>F47+F60</f>
        <v>868.50824301855073</v>
      </c>
      <c r="G61" s="39">
        <f>G47+G60</f>
        <v>784.81520217816728</v>
      </c>
      <c r="H61" s="39">
        <f>H47+H60</f>
        <v>88.385080265625007</v>
      </c>
      <c r="I61" s="6"/>
      <c r="J61" s="8"/>
      <c r="K61" s="4"/>
      <c r="L61" s="4"/>
      <c r="M61" s="4"/>
      <c r="N61" s="4"/>
    </row>
    <row r="62" spans="1:14" ht="13.8" x14ac:dyDescent="0.25">
      <c r="A62" s="12" t="s">
        <v>39</v>
      </c>
      <c r="B62" s="31"/>
      <c r="C62" s="141"/>
      <c r="D62" s="30"/>
      <c r="E62" s="73"/>
      <c r="F62" s="72">
        <f>F12-F61</f>
        <v>-13.508243018550729</v>
      </c>
      <c r="G62" s="72">
        <f>G12-G61</f>
        <v>-211.96520217816737</v>
      </c>
      <c r="H62" s="72">
        <f>H12-H61</f>
        <v>31.614919734374993</v>
      </c>
      <c r="I62" s="6"/>
      <c r="J62" s="8"/>
      <c r="K62" s="4"/>
      <c r="L62" s="4"/>
      <c r="M62" s="4"/>
      <c r="N62" s="4"/>
    </row>
    <row r="63" spans="1:14" x14ac:dyDescent="0.25">
      <c r="A63" s="4"/>
      <c r="B63" s="5"/>
      <c r="C63" s="119"/>
      <c r="D63" s="10"/>
      <c r="E63" s="36"/>
      <c r="F63" s="8"/>
      <c r="G63" s="8"/>
      <c r="H63" s="8"/>
      <c r="I63" s="6"/>
      <c r="J63" s="8"/>
      <c r="K63" s="4"/>
      <c r="L63" s="4"/>
      <c r="M63" s="4"/>
      <c r="N63" s="4"/>
    </row>
    <row r="64" spans="1:14" ht="13.8" x14ac:dyDescent="0.25">
      <c r="A64" s="113" t="s">
        <v>161</v>
      </c>
      <c r="B64" s="113"/>
      <c r="C64" s="266"/>
      <c r="D64" s="113"/>
      <c r="E64" s="114"/>
      <c r="F64" s="115">
        <f>(F62/F61)</f>
        <v>-1.5553384930006015E-2</v>
      </c>
      <c r="G64" s="115">
        <f t="shared" ref="G64:H64" si="8">(G62/G61)</f>
        <v>-0.27008294639283431</v>
      </c>
      <c r="H64" s="115">
        <f t="shared" si="8"/>
        <v>0.35769520873163435</v>
      </c>
      <c r="I64" s="4"/>
      <c r="J64" s="4"/>
      <c r="K64" s="4"/>
      <c r="L64" s="4"/>
      <c r="M64" s="4"/>
      <c r="N64" s="4"/>
    </row>
    <row r="65" spans="2:14" x14ac:dyDescent="0.25">
      <c r="B65" s="1"/>
      <c r="C65" s="41"/>
      <c r="D65" s="46"/>
      <c r="E65" s="36"/>
      <c r="F65" s="42"/>
      <c r="G65" s="42"/>
      <c r="H65" s="42"/>
      <c r="I65" s="64"/>
      <c r="J65" s="42"/>
      <c r="K65" s="4"/>
      <c r="L65" s="4"/>
      <c r="M65" s="4"/>
      <c r="N65" s="4"/>
    </row>
    <row r="66" spans="2:14" x14ac:dyDescent="0.25">
      <c r="C66" s="4"/>
      <c r="D66" s="4"/>
      <c r="E66" s="36"/>
      <c r="F66" s="4"/>
      <c r="G66" s="4"/>
      <c r="H66" s="4"/>
      <c r="I66" s="4"/>
      <c r="J66" s="4"/>
      <c r="K66" s="4"/>
      <c r="L66" s="4"/>
      <c r="M66" s="4"/>
      <c r="N66" s="4"/>
    </row>
    <row r="67" spans="2:14" x14ac:dyDescent="0.25">
      <c r="C67" s="4"/>
      <c r="D67" s="4"/>
      <c r="E67" s="36"/>
      <c r="F67" s="4"/>
      <c r="G67" s="4"/>
      <c r="H67" s="4"/>
      <c r="I67" s="4"/>
      <c r="J67" s="4"/>
      <c r="K67" s="4"/>
      <c r="L67" s="4"/>
      <c r="M67" s="4"/>
      <c r="N67" s="4"/>
    </row>
    <row r="68" spans="2:14" x14ac:dyDescent="0.25">
      <c r="C68" s="4"/>
      <c r="D68" s="4"/>
      <c r="E68" s="10"/>
      <c r="F68" s="4"/>
      <c r="G68" s="4"/>
      <c r="H68" s="4"/>
      <c r="I68" s="4"/>
      <c r="J68" s="4"/>
      <c r="K68" s="4"/>
      <c r="L68" s="4"/>
      <c r="M68" s="4"/>
      <c r="N68" s="4"/>
    </row>
    <row r="69" spans="2:14" x14ac:dyDescent="0.25">
      <c r="C69" s="4"/>
      <c r="D69" s="4"/>
      <c r="E69" s="10"/>
      <c r="F69" s="4"/>
      <c r="G69" s="4"/>
      <c r="H69" s="4"/>
      <c r="I69" s="4"/>
      <c r="J69" s="4"/>
      <c r="K69" s="4"/>
      <c r="L69" s="4"/>
      <c r="M69" s="4"/>
      <c r="N69" s="4"/>
    </row>
    <row r="70" spans="2:14" x14ac:dyDescent="0.25">
      <c r="C70" s="4"/>
      <c r="D70" s="4"/>
      <c r="E70" s="10"/>
      <c r="F70" s="4"/>
      <c r="G70" s="4"/>
      <c r="H70" s="4"/>
      <c r="I70" s="4"/>
      <c r="J70" s="4"/>
      <c r="K70" s="4"/>
      <c r="L70" s="4"/>
      <c r="M70" s="4"/>
      <c r="N70" s="4"/>
    </row>
    <row r="71" spans="2:14" x14ac:dyDescent="0.25">
      <c r="C71" s="4"/>
      <c r="D71" s="4"/>
      <c r="E71" s="4"/>
      <c r="F71" s="4"/>
      <c r="G71" s="4"/>
      <c r="H71" s="4"/>
      <c r="I71" s="4"/>
      <c r="J71" s="4"/>
      <c r="K71" s="4"/>
      <c r="L71" s="4"/>
      <c r="M71" s="4"/>
      <c r="N71" s="4"/>
    </row>
    <row r="72" spans="2:14" x14ac:dyDescent="0.25">
      <c r="C72" s="4"/>
      <c r="D72" s="4"/>
      <c r="E72" s="46"/>
      <c r="F72" s="4"/>
      <c r="G72" s="4"/>
      <c r="H72" s="4"/>
    </row>
  </sheetData>
  <sheetProtection sheet="1" objects="1" scenarios="1" formatColumns="0" formatRows="0" selectLockedCells="1"/>
  <mergeCells count="3">
    <mergeCell ref="A2:H2"/>
    <mergeCell ref="A3:H3"/>
    <mergeCell ref="A4:H4"/>
  </mergeCells>
  <phoneticPr fontId="0" type="noConversion"/>
  <dataValidations disablePrompts="1"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8:A20">
      <formula1>Fert_Names</formula1>
    </dataValidation>
  </dataValidations>
  <printOptions horizontalCentered="1"/>
  <pageMargins left="0.25" right="0.25" top="0.75" bottom="0.75" header="0.3" footer="0.3"/>
  <pageSetup scale="80"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T72"/>
  <sheetViews>
    <sheetView showGridLines="0" showRowColHeaders="0" zoomScale="90" zoomScaleNormal="90" workbookViewId="0">
      <pane ySplit="7" topLeftCell="A35" activePane="bottomLeft" state="frozen"/>
      <selection activeCell="B17" sqref="B17"/>
      <selection pane="bottomLeft" activeCell="B9" sqref="B9"/>
    </sheetView>
  </sheetViews>
  <sheetFormatPr defaultRowHeight="13.2" x14ac:dyDescent="0.25"/>
  <cols>
    <col min="1" max="1" width="35.5546875" customWidth="1"/>
    <col min="2" max="8" width="10.5546875" customWidth="1"/>
    <col min="9" max="9" width="9.55468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125</v>
      </c>
      <c r="B3" s="319"/>
      <c r="C3" s="319"/>
      <c r="D3" s="319"/>
      <c r="E3" s="319"/>
      <c r="F3" s="319"/>
      <c r="G3" s="319"/>
      <c r="H3" s="319"/>
      <c r="I3" s="4"/>
      <c r="J3" s="4"/>
      <c r="K3" s="4"/>
      <c r="L3" s="4"/>
      <c r="M3" s="4"/>
      <c r="N3" s="4"/>
      <c r="O3" s="4"/>
    </row>
    <row r="4" spans="1:20" ht="15" x14ac:dyDescent="0.25">
      <c r="A4" s="319" t="s">
        <v>269</v>
      </c>
      <c r="B4" s="319"/>
      <c r="C4" s="319"/>
      <c r="D4" s="319"/>
      <c r="E4" s="319"/>
      <c r="F4" s="319"/>
      <c r="G4" s="319"/>
      <c r="H4" s="319"/>
      <c r="I4" s="4"/>
      <c r="J4" s="4"/>
      <c r="K4" s="4"/>
      <c r="L4" s="4"/>
      <c r="M4" s="4"/>
      <c r="N4" s="4"/>
      <c r="O4" s="4"/>
    </row>
    <row r="5" spans="1:20" ht="13.8" x14ac:dyDescent="0.25">
      <c r="A5" s="4"/>
      <c r="B5" s="40"/>
      <c r="C5" s="40"/>
      <c r="D5" s="40"/>
      <c r="E5" s="40"/>
      <c r="G5" s="245"/>
      <c r="H5" s="242" t="s">
        <v>102</v>
      </c>
      <c r="I5" s="69" t="s">
        <v>55</v>
      </c>
      <c r="J5" s="40"/>
      <c r="K5" s="4"/>
      <c r="L5" s="4"/>
      <c r="M5" s="4"/>
      <c r="N5" s="4"/>
      <c r="O5" s="4"/>
      <c r="S5" s="1"/>
      <c r="T5" s="1"/>
    </row>
    <row r="6" spans="1:20" ht="13.8" x14ac:dyDescent="0.25">
      <c r="A6" s="4" t="s">
        <v>3</v>
      </c>
      <c r="B6" s="53" t="s">
        <v>4</v>
      </c>
      <c r="C6" s="53" t="s">
        <v>5</v>
      </c>
      <c r="D6" s="53" t="s">
        <v>6</v>
      </c>
      <c r="E6" s="53" t="s">
        <v>53</v>
      </c>
      <c r="F6" s="244" t="s">
        <v>151</v>
      </c>
      <c r="G6" s="244"/>
      <c r="H6" s="112" t="s">
        <v>55</v>
      </c>
      <c r="I6" s="70" t="s">
        <v>103</v>
      </c>
      <c r="J6" s="5"/>
      <c r="K6" s="41"/>
      <c r="L6" s="4"/>
      <c r="M6" s="4"/>
      <c r="N6" s="4"/>
      <c r="O6" s="4"/>
    </row>
    <row r="7" spans="1:20" x14ac:dyDescent="0.25">
      <c r="A7" s="4"/>
      <c r="B7" s="5"/>
      <c r="C7" s="5"/>
      <c r="D7" s="5"/>
      <c r="E7" s="53" t="s">
        <v>55</v>
      </c>
      <c r="F7" s="53" t="s">
        <v>56</v>
      </c>
      <c r="G7" s="53" t="s">
        <v>52</v>
      </c>
      <c r="H7" s="53" t="s">
        <v>53</v>
      </c>
      <c r="J7" s="6"/>
      <c r="K7" s="4"/>
      <c r="L7" s="4"/>
      <c r="M7" s="4"/>
      <c r="N7" s="4"/>
      <c r="O7" s="4"/>
    </row>
    <row r="8" spans="1:20" x14ac:dyDescent="0.25">
      <c r="A8" s="4" t="s">
        <v>7</v>
      </c>
      <c r="B8" s="5"/>
      <c r="C8" s="119"/>
      <c r="D8" s="5"/>
      <c r="E8" s="5"/>
      <c r="F8" s="5"/>
      <c r="G8" s="5"/>
      <c r="H8" s="5"/>
      <c r="J8" s="6"/>
      <c r="K8" s="4"/>
      <c r="L8" s="4"/>
      <c r="M8" s="4"/>
      <c r="N8" s="4"/>
      <c r="O8" s="4"/>
    </row>
    <row r="9" spans="1:20" x14ac:dyDescent="0.25">
      <c r="A9" s="7" t="s">
        <v>84</v>
      </c>
      <c r="B9" s="47">
        <v>27</v>
      </c>
      <c r="C9" s="119" t="s">
        <v>51</v>
      </c>
      <c r="D9" s="55">
        <f>'Universal Input Prices'!$B$7</f>
        <v>35.1</v>
      </c>
      <c r="E9" s="34">
        <v>0.33</v>
      </c>
      <c r="F9" s="39">
        <f>D9*B9</f>
        <v>947.7</v>
      </c>
      <c r="G9" s="39">
        <f>F9*(1-E9)</f>
        <v>634.95899999999995</v>
      </c>
      <c r="H9" s="39">
        <f>IF(H6="Cash", D58,F9*E9)</f>
        <v>312.74100000000004</v>
      </c>
      <c r="J9" s="8"/>
      <c r="K9" s="64"/>
      <c r="L9" s="4"/>
      <c r="M9" s="4"/>
      <c r="N9" s="4"/>
      <c r="O9" s="4"/>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264"/>
      <c r="D11" s="8"/>
      <c r="E11" s="36"/>
      <c r="F11" s="39"/>
      <c r="G11" s="39"/>
      <c r="H11" s="39"/>
      <c r="I11" s="20"/>
      <c r="J11" s="6"/>
      <c r="K11" s="4"/>
      <c r="L11" s="4"/>
      <c r="M11" s="4"/>
      <c r="N11" s="4"/>
      <c r="O11" s="4"/>
    </row>
    <row r="12" spans="1:20" x14ac:dyDescent="0.25">
      <c r="A12" s="4" t="s">
        <v>12</v>
      </c>
      <c r="B12" s="5"/>
      <c r="C12" s="119"/>
      <c r="D12" s="8"/>
      <c r="E12" s="36"/>
      <c r="F12" s="39">
        <f>SUM(F8:F11)</f>
        <v>947.7</v>
      </c>
      <c r="G12" s="39">
        <f t="shared" ref="G12:H12" si="0">SUM(G8:G11)</f>
        <v>634.95899999999995</v>
      </c>
      <c r="H12" s="39">
        <f t="shared" si="0"/>
        <v>312.74100000000004</v>
      </c>
      <c r="I12" s="20"/>
      <c r="J12" s="8"/>
      <c r="K12" s="4"/>
      <c r="L12" s="4"/>
      <c r="M12" s="4"/>
      <c r="N12" s="4"/>
      <c r="O12" s="4"/>
    </row>
    <row r="13" spans="1:20" x14ac:dyDescent="0.25">
      <c r="A13" s="4"/>
      <c r="B13" s="5"/>
      <c r="C13" s="119"/>
      <c r="D13" s="8"/>
      <c r="E13" s="36"/>
      <c r="F13" s="39"/>
      <c r="G13" s="39"/>
      <c r="H13" s="39"/>
      <c r="I13" s="6"/>
      <c r="J13" s="6"/>
      <c r="K13" s="4"/>
      <c r="L13" s="4"/>
      <c r="M13" s="4"/>
      <c r="N13" s="4"/>
      <c r="O13" s="4"/>
    </row>
    <row r="14" spans="1:20" x14ac:dyDescent="0.25">
      <c r="A14" s="4" t="s">
        <v>207</v>
      </c>
      <c r="B14" s="5"/>
      <c r="C14" s="119"/>
      <c r="D14" s="8"/>
      <c r="E14" s="36"/>
      <c r="F14" s="39"/>
      <c r="G14" s="39"/>
      <c r="H14" s="39"/>
      <c r="I14" s="6"/>
      <c r="J14" s="6"/>
      <c r="K14" s="4"/>
      <c r="L14" s="4"/>
      <c r="M14" s="4"/>
      <c r="N14" s="4"/>
      <c r="O14" s="4"/>
    </row>
    <row r="15" spans="1:20" x14ac:dyDescent="0.25">
      <c r="A15" s="4" t="s">
        <v>1</v>
      </c>
      <c r="B15" s="5"/>
      <c r="C15" s="119"/>
      <c r="D15" s="8"/>
      <c r="E15" s="36"/>
      <c r="F15" s="39"/>
      <c r="G15" s="39"/>
      <c r="H15" s="39"/>
      <c r="I15" s="6"/>
      <c r="J15" s="6"/>
      <c r="K15" s="4"/>
      <c r="L15" s="4"/>
      <c r="M15" s="4"/>
      <c r="N15" s="4"/>
      <c r="O15" s="4"/>
    </row>
    <row r="16" spans="1:20" x14ac:dyDescent="0.25">
      <c r="A16" s="7" t="s">
        <v>122</v>
      </c>
      <c r="B16" s="28">
        <v>0.4</v>
      </c>
      <c r="C16" s="128" t="s">
        <v>139</v>
      </c>
      <c r="D16" s="13">
        <v>280</v>
      </c>
      <c r="E16" s="34">
        <v>0</v>
      </c>
      <c r="F16" s="39">
        <f>D16*B16</f>
        <v>112</v>
      </c>
      <c r="G16" s="39">
        <f>F16*(1-E16)</f>
        <v>112</v>
      </c>
      <c r="H16" s="39">
        <f>F16*E16</f>
        <v>0</v>
      </c>
      <c r="I16" s="21"/>
      <c r="J16" s="8"/>
      <c r="K16" s="4"/>
      <c r="L16" s="4"/>
      <c r="M16" s="4"/>
      <c r="N16" s="4"/>
      <c r="O16" s="4"/>
    </row>
    <row r="17" spans="1:15" x14ac:dyDescent="0.25">
      <c r="A17" s="4" t="s">
        <v>0</v>
      </c>
      <c r="B17" s="26"/>
      <c r="C17" s="119"/>
      <c r="D17" s="15"/>
      <c r="E17" s="36"/>
      <c r="F17" s="39"/>
      <c r="G17" s="39"/>
      <c r="H17" s="39"/>
      <c r="I17" s="6"/>
      <c r="J17" s="6"/>
      <c r="K17" s="4"/>
      <c r="L17" s="4"/>
      <c r="M17" s="4"/>
      <c r="N17" s="4"/>
      <c r="O17" s="4"/>
    </row>
    <row r="18" spans="1:15" x14ac:dyDescent="0.25">
      <c r="A18" s="302" t="s">
        <v>255</v>
      </c>
      <c r="B18" s="24">
        <v>126</v>
      </c>
      <c r="C18" s="119" t="s">
        <v>79</v>
      </c>
      <c r="D18" s="54">
        <f>IF(A18="",0,VLOOKUP(A18,'Universal Input Prices'!$A$26:$B$30, 2))</f>
        <v>0.25000000000000006</v>
      </c>
      <c r="E18" s="34">
        <v>0.33</v>
      </c>
      <c r="F18" s="39">
        <f>D18*B18</f>
        <v>31.500000000000007</v>
      </c>
      <c r="G18" s="39">
        <f>F18*(1-E18)</f>
        <v>21.105000000000004</v>
      </c>
      <c r="H18" s="39">
        <f>F18*E18</f>
        <v>10.395000000000003</v>
      </c>
      <c r="I18" s="6"/>
      <c r="J18" s="6"/>
      <c r="K18" s="4"/>
      <c r="L18" s="4"/>
      <c r="M18" s="4"/>
      <c r="N18" s="4"/>
      <c r="O18" s="4"/>
    </row>
    <row r="19" spans="1:15" x14ac:dyDescent="0.25">
      <c r="A19" s="302" t="s">
        <v>136</v>
      </c>
      <c r="B19" s="24">
        <v>60</v>
      </c>
      <c r="C19" s="119" t="s">
        <v>79</v>
      </c>
      <c r="D19" s="54">
        <f>IF(A19="",0,VLOOKUP(A19,'Universal Input Prices'!$A$26:$B$30, 2))</f>
        <v>0.47</v>
      </c>
      <c r="E19" s="34">
        <v>0.33</v>
      </c>
      <c r="F19" s="39">
        <f>D19*B19</f>
        <v>28.2</v>
      </c>
      <c r="G19" s="39">
        <f>F19*(1-E19)</f>
        <v>18.893999999999998</v>
      </c>
      <c r="H19" s="39">
        <f>F19*E19</f>
        <v>9.3060000000000009</v>
      </c>
      <c r="I19" s="21"/>
      <c r="J19" s="8"/>
      <c r="K19" s="4"/>
      <c r="L19" s="4"/>
      <c r="M19" s="4"/>
      <c r="N19" s="4"/>
      <c r="O19" s="4"/>
    </row>
    <row r="20" spans="1:15" x14ac:dyDescent="0.25">
      <c r="A20" s="302" t="s">
        <v>135</v>
      </c>
      <c r="B20" s="24">
        <v>78</v>
      </c>
      <c r="C20" s="119" t="s">
        <v>79</v>
      </c>
      <c r="D20" s="54">
        <f>IF(A20="",0,VLOOKUP(A20,'Universal Input Prices'!$A$26:$B$27, 2))</f>
        <v>0.41015625</v>
      </c>
      <c r="E20" s="34">
        <v>0.33</v>
      </c>
      <c r="F20" s="39">
        <f>D20*B20</f>
        <v>31.9921875</v>
      </c>
      <c r="G20" s="39">
        <f>F20*(1-E20)</f>
        <v>21.434765624999997</v>
      </c>
      <c r="H20" s="39">
        <f>F20*E20</f>
        <v>10.557421875000001</v>
      </c>
      <c r="I20" s="21"/>
      <c r="J20" s="8"/>
      <c r="K20" s="4"/>
      <c r="L20" s="4"/>
      <c r="M20" s="4"/>
      <c r="N20" s="4"/>
      <c r="O20" s="4"/>
    </row>
    <row r="21" spans="1:15" x14ac:dyDescent="0.25">
      <c r="A21" s="4" t="s">
        <v>15</v>
      </c>
      <c r="B21" s="27"/>
      <c r="C21" s="119"/>
      <c r="D21" s="8"/>
      <c r="E21" s="36"/>
      <c r="F21" s="39"/>
      <c r="G21" s="39"/>
      <c r="H21" s="39"/>
      <c r="I21" s="6"/>
      <c r="J21" s="6"/>
      <c r="K21" s="4"/>
      <c r="L21" s="4"/>
      <c r="M21" s="4"/>
      <c r="N21" s="4"/>
      <c r="O21" s="4"/>
    </row>
    <row r="22" spans="1:15" x14ac:dyDescent="0.25">
      <c r="A22" s="2" t="s">
        <v>275</v>
      </c>
      <c r="B22" s="24">
        <v>1</v>
      </c>
      <c r="C22" s="119" t="s">
        <v>14</v>
      </c>
      <c r="D22" s="14">
        <v>17.399999999999999</v>
      </c>
      <c r="E22" s="34">
        <v>0.33</v>
      </c>
      <c r="F22" s="39">
        <f t="shared" ref="F22:F36" si="1">D22*B22</f>
        <v>17.399999999999999</v>
      </c>
      <c r="G22" s="39">
        <f t="shared" ref="G22:G44" si="2">F22*(1-E22)</f>
        <v>11.657999999999998</v>
      </c>
      <c r="H22" s="39">
        <f t="shared" ref="H22:H44" si="3">F22*E22</f>
        <v>5.742</v>
      </c>
      <c r="I22" s="21"/>
      <c r="J22" s="8"/>
      <c r="K22" s="4"/>
      <c r="L22" s="4"/>
      <c r="M22" s="4"/>
      <c r="N22" s="4"/>
      <c r="O22" s="4"/>
    </row>
    <row r="23" spans="1:15" x14ac:dyDescent="0.25">
      <c r="A23" s="7" t="s">
        <v>43</v>
      </c>
      <c r="B23" s="24">
        <v>1</v>
      </c>
      <c r="C23" s="119" t="s">
        <v>14</v>
      </c>
      <c r="D23" s="14">
        <v>15</v>
      </c>
      <c r="E23" s="34">
        <v>0.33</v>
      </c>
      <c r="F23" s="39">
        <f t="shared" si="1"/>
        <v>15</v>
      </c>
      <c r="G23" s="39">
        <f t="shared" si="2"/>
        <v>10.049999999999999</v>
      </c>
      <c r="H23" s="39">
        <f t="shared" si="3"/>
        <v>4.95</v>
      </c>
      <c r="I23" s="21"/>
      <c r="J23" s="8"/>
      <c r="K23" s="4"/>
      <c r="L23" s="4"/>
      <c r="M23" s="4"/>
      <c r="N23" s="4"/>
      <c r="O23" s="4"/>
    </row>
    <row r="24" spans="1:15" x14ac:dyDescent="0.25">
      <c r="A24" s="2" t="s">
        <v>237</v>
      </c>
      <c r="B24" s="24">
        <v>1</v>
      </c>
      <c r="C24" s="119" t="s">
        <v>141</v>
      </c>
      <c r="D24" s="14">
        <v>25.7</v>
      </c>
      <c r="E24" s="34">
        <v>0.33</v>
      </c>
      <c r="F24" s="39">
        <f t="shared" si="1"/>
        <v>25.7</v>
      </c>
      <c r="G24" s="39">
        <f t="shared" si="2"/>
        <v>17.218999999999998</v>
      </c>
      <c r="H24" s="39">
        <f t="shared" si="3"/>
        <v>8.4809999999999999</v>
      </c>
      <c r="I24" s="21"/>
      <c r="J24" s="8"/>
      <c r="K24" s="4"/>
      <c r="L24" s="4"/>
      <c r="M24" s="4"/>
      <c r="N24" s="4"/>
      <c r="O24" s="4"/>
    </row>
    <row r="25" spans="1:15" x14ac:dyDescent="0.25">
      <c r="A25" s="7" t="s">
        <v>47</v>
      </c>
      <c r="B25" s="48">
        <f>$B$9</f>
        <v>27</v>
      </c>
      <c r="C25" s="119" t="s">
        <v>51</v>
      </c>
      <c r="D25" s="14">
        <v>9.0399999999999991</v>
      </c>
      <c r="E25" s="34">
        <v>0</v>
      </c>
      <c r="F25" s="39">
        <f t="shared" si="1"/>
        <v>244.07999999999998</v>
      </c>
      <c r="G25" s="39">
        <f t="shared" si="2"/>
        <v>244.07999999999998</v>
      </c>
      <c r="H25" s="39">
        <f t="shared" si="3"/>
        <v>0</v>
      </c>
      <c r="I25" s="21"/>
      <c r="J25" s="8"/>
      <c r="K25" s="4"/>
      <c r="L25" s="4"/>
      <c r="M25" s="4"/>
      <c r="N25" s="4"/>
      <c r="O25" s="4"/>
    </row>
    <row r="26" spans="1:15" x14ac:dyDescent="0.25">
      <c r="A26" s="7" t="s">
        <v>49</v>
      </c>
      <c r="B26" s="24">
        <v>1</v>
      </c>
      <c r="C26" s="119" t="s">
        <v>14</v>
      </c>
      <c r="D26" s="14">
        <v>0</v>
      </c>
      <c r="E26" s="34">
        <v>0</v>
      </c>
      <c r="F26" s="39">
        <f t="shared" si="1"/>
        <v>0</v>
      </c>
      <c r="G26" s="39">
        <f t="shared" si="2"/>
        <v>0</v>
      </c>
      <c r="H26" s="39">
        <f t="shared" si="3"/>
        <v>0</v>
      </c>
      <c r="I26" s="21"/>
      <c r="J26" s="8"/>
      <c r="K26" s="4"/>
      <c r="L26" s="4"/>
      <c r="M26" s="4"/>
      <c r="N26" s="4"/>
      <c r="O26" s="4"/>
    </row>
    <row r="27" spans="1:15" x14ac:dyDescent="0.25">
      <c r="A27" s="2" t="s">
        <v>21</v>
      </c>
      <c r="B27" s="24">
        <v>1</v>
      </c>
      <c r="C27" s="119" t="s">
        <v>14</v>
      </c>
      <c r="D27" s="14">
        <v>0</v>
      </c>
      <c r="E27" s="34">
        <v>0</v>
      </c>
      <c r="F27" s="39">
        <f>D27*B27</f>
        <v>0</v>
      </c>
      <c r="G27" s="39">
        <f>F27*(1-E27)</f>
        <v>0</v>
      </c>
      <c r="H27" s="39">
        <f>F27*E27</f>
        <v>0</v>
      </c>
      <c r="I27" s="21"/>
      <c r="J27" s="8"/>
      <c r="K27" s="4"/>
      <c r="L27" s="4"/>
      <c r="M27" s="4"/>
      <c r="N27" s="4"/>
      <c r="O27" s="4"/>
    </row>
    <row r="28" spans="1:15" x14ac:dyDescent="0.25">
      <c r="A28" s="291" t="s">
        <v>276</v>
      </c>
      <c r="B28" s="24">
        <v>1</v>
      </c>
      <c r="C28" s="265" t="s">
        <v>14</v>
      </c>
      <c r="D28" s="14">
        <v>15.7</v>
      </c>
      <c r="E28" s="34">
        <v>0</v>
      </c>
      <c r="F28" s="39">
        <f t="shared" si="1"/>
        <v>15.7</v>
      </c>
      <c r="G28" s="39">
        <f t="shared" si="2"/>
        <v>15.7</v>
      </c>
      <c r="H28" s="39">
        <f t="shared" si="3"/>
        <v>0</v>
      </c>
      <c r="I28" s="21"/>
      <c r="J28" s="8"/>
      <c r="K28" s="4"/>
      <c r="L28" s="4"/>
      <c r="M28" s="4"/>
      <c r="N28" s="4"/>
      <c r="O28" s="4"/>
    </row>
    <row r="29" spans="1:15" x14ac:dyDescent="0.25">
      <c r="A29" s="291" t="s">
        <v>274</v>
      </c>
      <c r="B29" s="24">
        <v>1</v>
      </c>
      <c r="C29" s="265" t="s">
        <v>14</v>
      </c>
      <c r="D29" s="14">
        <v>21</v>
      </c>
      <c r="E29" s="34">
        <v>0</v>
      </c>
      <c r="F29" s="39">
        <f t="shared" si="1"/>
        <v>21</v>
      </c>
      <c r="G29" s="39">
        <f t="shared" si="2"/>
        <v>21</v>
      </c>
      <c r="H29" s="39">
        <f t="shared" si="3"/>
        <v>0</v>
      </c>
      <c r="I29" s="21"/>
      <c r="J29" s="8"/>
      <c r="K29" s="4"/>
      <c r="L29" s="4"/>
      <c r="M29" s="4"/>
      <c r="N29" s="4"/>
      <c r="O29" s="4"/>
    </row>
    <row r="30" spans="1:15" x14ac:dyDescent="0.25">
      <c r="A30" s="16" t="s">
        <v>40</v>
      </c>
      <c r="B30" s="24">
        <v>1</v>
      </c>
      <c r="C30" s="265" t="s">
        <v>14</v>
      </c>
      <c r="D30" s="14">
        <v>0</v>
      </c>
      <c r="E30" s="34">
        <v>0</v>
      </c>
      <c r="F30" s="39">
        <f t="shared" si="1"/>
        <v>0</v>
      </c>
      <c r="G30" s="39">
        <f t="shared" si="2"/>
        <v>0</v>
      </c>
      <c r="H30" s="39">
        <f t="shared" si="3"/>
        <v>0</v>
      </c>
      <c r="I30" s="21"/>
      <c r="J30" s="8"/>
      <c r="K30" s="4"/>
      <c r="L30" s="4"/>
      <c r="M30" s="4"/>
      <c r="N30" s="4"/>
      <c r="O30" s="4"/>
    </row>
    <row r="31" spans="1:15" x14ac:dyDescent="0.25">
      <c r="A31" s="4" t="s">
        <v>22</v>
      </c>
      <c r="B31" s="24">
        <v>1</v>
      </c>
      <c r="C31" s="119" t="s">
        <v>14</v>
      </c>
      <c r="D31" s="14">
        <v>36.5</v>
      </c>
      <c r="E31" s="34">
        <v>0.33</v>
      </c>
      <c r="F31" s="39">
        <f t="shared" si="1"/>
        <v>36.5</v>
      </c>
      <c r="G31" s="39">
        <f t="shared" si="2"/>
        <v>24.454999999999998</v>
      </c>
      <c r="H31" s="39">
        <f t="shared" si="3"/>
        <v>12.045</v>
      </c>
      <c r="I31" s="21"/>
      <c r="J31" s="8"/>
      <c r="K31" s="4"/>
      <c r="L31" s="4"/>
      <c r="M31" s="4"/>
      <c r="N31" s="4"/>
      <c r="O31" s="4"/>
    </row>
    <row r="32" spans="1:15" x14ac:dyDescent="0.25">
      <c r="A32" s="4" t="s">
        <v>140</v>
      </c>
      <c r="B32" s="28">
        <v>1.1000000000000001</v>
      </c>
      <c r="C32" s="119" t="s">
        <v>48</v>
      </c>
      <c r="D32" s="55">
        <f>'Universal Input Prices'!$B$31</f>
        <v>12.45</v>
      </c>
      <c r="E32" s="34">
        <v>0</v>
      </c>
      <c r="F32" s="39">
        <f t="shared" si="1"/>
        <v>13.695</v>
      </c>
      <c r="G32" s="39">
        <f t="shared" si="2"/>
        <v>13.695</v>
      </c>
      <c r="H32" s="39">
        <f t="shared" si="3"/>
        <v>0</v>
      </c>
      <c r="I32" s="21"/>
      <c r="J32" s="8"/>
      <c r="K32" s="4"/>
      <c r="L32" s="4"/>
      <c r="M32" s="4"/>
      <c r="N32" s="4"/>
      <c r="O32" s="4"/>
    </row>
    <row r="33" spans="1:15" x14ac:dyDescent="0.25">
      <c r="A33" s="4" t="s">
        <v>24</v>
      </c>
      <c r="B33" s="28">
        <v>1.28</v>
      </c>
      <c r="C33" s="119" t="s">
        <v>23</v>
      </c>
      <c r="D33" s="55">
        <f>'Universal Input Prices'!$B$31</f>
        <v>12.45</v>
      </c>
      <c r="E33" s="34">
        <v>0</v>
      </c>
      <c r="F33" s="39">
        <f t="shared" si="1"/>
        <v>15.936</v>
      </c>
      <c r="G33" s="39">
        <f t="shared" si="2"/>
        <v>15.936</v>
      </c>
      <c r="H33" s="39">
        <f t="shared" si="3"/>
        <v>0</v>
      </c>
      <c r="I33" s="21"/>
      <c r="J33" s="8"/>
      <c r="K33" s="4"/>
      <c r="L33" s="4"/>
      <c r="M33" s="4"/>
      <c r="N33" s="4"/>
      <c r="O33" s="4"/>
    </row>
    <row r="34" spans="1:15" x14ac:dyDescent="0.25">
      <c r="A34" s="4" t="s">
        <v>25</v>
      </c>
      <c r="B34" s="28">
        <v>3.01</v>
      </c>
      <c r="C34" s="119" t="s">
        <v>26</v>
      </c>
      <c r="D34" s="55">
        <f>'Universal Input Prices'!$B$32</f>
        <v>1.81</v>
      </c>
      <c r="E34" s="34">
        <v>0</v>
      </c>
      <c r="F34" s="39">
        <f t="shared" si="1"/>
        <v>5.4481000000000002</v>
      </c>
      <c r="G34" s="39">
        <f t="shared" si="2"/>
        <v>5.4481000000000002</v>
      </c>
      <c r="H34" s="39">
        <f t="shared" si="3"/>
        <v>0</v>
      </c>
      <c r="I34" s="21"/>
      <c r="J34" s="8"/>
      <c r="K34" s="4"/>
      <c r="L34" s="4"/>
      <c r="M34" s="4"/>
      <c r="N34" s="4"/>
      <c r="O34" s="4"/>
    </row>
    <row r="35" spans="1:15" x14ac:dyDescent="0.25">
      <c r="A35" s="4" t="s">
        <v>27</v>
      </c>
      <c r="B35" s="28">
        <v>3.0738461539999999</v>
      </c>
      <c r="C35" s="119" t="s">
        <v>26</v>
      </c>
      <c r="D35" s="55">
        <f>'Universal Input Prices'!$B$33</f>
        <v>1.9259999999999999</v>
      </c>
      <c r="E35" s="34">
        <v>0</v>
      </c>
      <c r="F35" s="39">
        <f t="shared" si="1"/>
        <v>5.9202276926039996</v>
      </c>
      <c r="G35" s="39">
        <f t="shared" si="2"/>
        <v>5.9202276926039996</v>
      </c>
      <c r="H35" s="39">
        <f t="shared" si="3"/>
        <v>0</v>
      </c>
      <c r="I35" s="21"/>
      <c r="J35" s="8"/>
      <c r="K35" s="4"/>
      <c r="L35" s="4"/>
      <c r="M35" s="4"/>
      <c r="N35" s="4"/>
      <c r="O35" s="4"/>
    </row>
    <row r="36" spans="1:15" x14ac:dyDescent="0.25">
      <c r="A36" s="4" t="s">
        <v>28</v>
      </c>
      <c r="B36" s="28">
        <v>20</v>
      </c>
      <c r="C36" s="119" t="s">
        <v>29</v>
      </c>
      <c r="D36" s="55">
        <f>'Universal Input Prices'!$B$34</f>
        <v>3.6</v>
      </c>
      <c r="E36" s="34">
        <v>0.33</v>
      </c>
      <c r="F36" s="39">
        <f t="shared" si="1"/>
        <v>72</v>
      </c>
      <c r="G36" s="39">
        <f t="shared" si="2"/>
        <v>48.239999999999995</v>
      </c>
      <c r="H36" s="39">
        <f t="shared" si="3"/>
        <v>23.76</v>
      </c>
      <c r="I36" s="21"/>
      <c r="J36" s="8"/>
      <c r="K36" s="4"/>
      <c r="L36" s="4"/>
      <c r="M36" s="4"/>
      <c r="N36" s="4"/>
      <c r="O36" s="4"/>
    </row>
    <row r="37" spans="1:15" hidden="1" x14ac:dyDescent="0.25">
      <c r="A37" s="4" t="s">
        <v>248</v>
      </c>
      <c r="B37" s="28">
        <v>62.86</v>
      </c>
      <c r="C37" s="119"/>
      <c r="D37" s="55"/>
      <c r="E37" s="34"/>
      <c r="F37" s="39"/>
      <c r="G37" s="39"/>
      <c r="H37" s="39"/>
      <c r="I37" s="4"/>
    </row>
    <row r="38" spans="1:15" hidden="1" x14ac:dyDescent="0.25">
      <c r="A38" s="4" t="s">
        <v>249</v>
      </c>
      <c r="B38" s="48">
        <f>B36*18.85694/B37</f>
        <v>5.9996627426026103</v>
      </c>
      <c r="C38" s="119"/>
      <c r="D38" s="55"/>
      <c r="E38" s="34"/>
      <c r="F38" s="39"/>
      <c r="G38" s="39"/>
      <c r="H38" s="39"/>
      <c r="I38" s="4"/>
    </row>
    <row r="39" spans="1:15" x14ac:dyDescent="0.25">
      <c r="A39" s="4" t="s">
        <v>30</v>
      </c>
      <c r="B39" s="5"/>
      <c r="C39" s="119"/>
      <c r="D39" s="15"/>
      <c r="E39" s="36"/>
      <c r="F39" s="39"/>
      <c r="G39" s="39">
        <f t="shared" si="2"/>
        <v>0</v>
      </c>
      <c r="H39" s="39">
        <f t="shared" si="3"/>
        <v>0</v>
      </c>
      <c r="I39" s="6"/>
      <c r="J39" s="6"/>
      <c r="K39" s="4"/>
      <c r="L39" s="4"/>
      <c r="M39" s="4"/>
      <c r="N39" s="4"/>
      <c r="O39" s="4"/>
    </row>
    <row r="40" spans="1:15" x14ac:dyDescent="0.25">
      <c r="A40" s="7" t="s">
        <v>31</v>
      </c>
      <c r="B40" s="5">
        <v>1</v>
      </c>
      <c r="C40" s="119" t="s">
        <v>14</v>
      </c>
      <c r="D40" s="14">
        <v>13.24</v>
      </c>
      <c r="E40" s="34">
        <v>0</v>
      </c>
      <c r="F40" s="39">
        <f>D40*B40</f>
        <v>13.24</v>
      </c>
      <c r="G40" s="39">
        <f t="shared" si="2"/>
        <v>13.24</v>
      </c>
      <c r="H40" s="39">
        <f t="shared" si="3"/>
        <v>0</v>
      </c>
      <c r="I40" s="21"/>
      <c r="J40" s="8"/>
      <c r="K40" s="4"/>
      <c r="L40" s="4"/>
      <c r="M40" s="4"/>
      <c r="N40" s="4"/>
      <c r="O40" s="4"/>
    </row>
    <row r="41" spans="1:15" x14ac:dyDescent="0.25">
      <c r="A41" s="7" t="s">
        <v>2</v>
      </c>
      <c r="B41" s="5">
        <v>1</v>
      </c>
      <c r="C41" s="119" t="s">
        <v>14</v>
      </c>
      <c r="D41" s="14">
        <v>5.48</v>
      </c>
      <c r="E41" s="34">
        <v>0</v>
      </c>
      <c r="F41" s="39">
        <f>D41*B41</f>
        <v>5.48</v>
      </c>
      <c r="G41" s="39">
        <f t="shared" si="2"/>
        <v>5.48</v>
      </c>
      <c r="H41" s="39">
        <f t="shared" si="3"/>
        <v>0</v>
      </c>
      <c r="I41" s="21"/>
      <c r="J41" s="8"/>
      <c r="K41" s="4"/>
      <c r="L41" s="4"/>
      <c r="M41" s="4"/>
      <c r="N41" s="4"/>
      <c r="O41" s="4"/>
    </row>
    <row r="42" spans="1:15" x14ac:dyDescent="0.25">
      <c r="A42" s="7" t="s">
        <v>32</v>
      </c>
      <c r="B42" s="5">
        <f>B36</f>
        <v>20</v>
      </c>
      <c r="C42" s="119" t="s">
        <v>29</v>
      </c>
      <c r="D42" s="14">
        <v>4.04</v>
      </c>
      <c r="E42" s="34">
        <v>0</v>
      </c>
      <c r="F42" s="39">
        <f>D42*B42</f>
        <v>80.8</v>
      </c>
      <c r="G42" s="39">
        <f t="shared" si="2"/>
        <v>80.8</v>
      </c>
      <c r="H42" s="39">
        <f t="shared" si="3"/>
        <v>0</v>
      </c>
      <c r="I42" s="21"/>
      <c r="J42" s="8"/>
      <c r="K42" s="4"/>
      <c r="L42" s="4"/>
      <c r="M42" s="4"/>
      <c r="N42" s="4"/>
      <c r="O42" s="4"/>
    </row>
    <row r="43" spans="1:15" x14ac:dyDescent="0.25">
      <c r="A43" s="7" t="s">
        <v>204</v>
      </c>
      <c r="B43" s="5">
        <v>1</v>
      </c>
      <c r="C43" s="119" t="s">
        <v>14</v>
      </c>
      <c r="D43" s="14">
        <v>0</v>
      </c>
      <c r="E43" s="34">
        <v>1</v>
      </c>
      <c r="F43" s="39">
        <f>D43*B43</f>
        <v>0</v>
      </c>
      <c r="G43" s="39">
        <f t="shared" si="2"/>
        <v>0</v>
      </c>
      <c r="H43" s="39">
        <f t="shared" si="3"/>
        <v>0</v>
      </c>
      <c r="I43" s="21"/>
      <c r="J43" s="8"/>
      <c r="K43" s="4"/>
      <c r="L43" s="4"/>
      <c r="M43" s="4"/>
      <c r="N43" s="4"/>
      <c r="O43" s="4"/>
    </row>
    <row r="44" spans="1:15" x14ac:dyDescent="0.25">
      <c r="A44" s="7" t="s">
        <v>33</v>
      </c>
      <c r="B44" s="5">
        <v>1</v>
      </c>
      <c r="C44" s="119" t="s">
        <v>14</v>
      </c>
      <c r="D44" s="14">
        <v>3.76</v>
      </c>
      <c r="E44" s="34">
        <v>0</v>
      </c>
      <c r="F44" s="39">
        <f>D44*B44</f>
        <v>3.76</v>
      </c>
      <c r="G44" s="39">
        <f t="shared" si="2"/>
        <v>3.76</v>
      </c>
      <c r="H44" s="39">
        <f t="shared" si="3"/>
        <v>0</v>
      </c>
      <c r="I44" s="21"/>
      <c r="J44" s="8"/>
      <c r="K44" s="4"/>
      <c r="L44" s="4"/>
      <c r="M44" s="4"/>
      <c r="N44" s="4"/>
      <c r="O44" s="4"/>
    </row>
    <row r="45" spans="1:15" x14ac:dyDescent="0.25">
      <c r="A45" s="4" t="s">
        <v>34</v>
      </c>
      <c r="B45" s="89">
        <f>'Universal Input Prices'!$B$35</f>
        <v>5.3999999999999999E-2</v>
      </c>
      <c r="C45" s="119"/>
      <c r="D45" s="22"/>
      <c r="E45" s="36"/>
      <c r="F45" s="158">
        <f>(SUM(F16:F24,F26:F44))*$B45/3</f>
        <v>9.9228872734668716</v>
      </c>
      <c r="G45" s="158">
        <f t="shared" ref="G45:H45" si="4">(SUM(G16:G24,G26:G44))*$B45/2</f>
        <v>12.582947519575308</v>
      </c>
      <c r="H45" s="158">
        <f t="shared" si="4"/>
        <v>2.3013833906250003</v>
      </c>
      <c r="I45" s="21"/>
      <c r="J45" s="8"/>
      <c r="K45" s="4"/>
      <c r="L45" s="4"/>
      <c r="M45" s="4"/>
      <c r="N45" s="4"/>
      <c r="O45" s="4"/>
    </row>
    <row r="46" spans="1:15" x14ac:dyDescent="0.25">
      <c r="A46" s="4"/>
      <c r="B46" s="10"/>
      <c r="C46" s="119"/>
      <c r="D46" s="8"/>
      <c r="E46" s="36"/>
      <c r="F46" s="39"/>
      <c r="G46" s="39"/>
      <c r="H46" s="39"/>
      <c r="I46" s="6"/>
      <c r="J46" s="6"/>
      <c r="K46" s="4"/>
      <c r="L46" s="4"/>
      <c r="M46" s="4"/>
      <c r="N46" s="4"/>
      <c r="O46" s="4"/>
    </row>
    <row r="47" spans="1:15" x14ac:dyDescent="0.25">
      <c r="A47" s="4" t="s">
        <v>205</v>
      </c>
      <c r="B47" s="10"/>
      <c r="C47" s="119"/>
      <c r="D47" s="8"/>
      <c r="E47" s="36"/>
      <c r="F47" s="39">
        <f>SUM(F16:F45)</f>
        <v>805.27440246607102</v>
      </c>
      <c r="G47" s="39">
        <f>SUM(G16:G45)</f>
        <v>722.69804083717941</v>
      </c>
      <c r="H47" s="39">
        <f>SUM(H16:H45)</f>
        <v>87.537805265625011</v>
      </c>
      <c r="I47" s="11"/>
      <c r="J47" s="8"/>
      <c r="K47" s="4"/>
      <c r="L47" s="4"/>
      <c r="M47" s="4"/>
      <c r="N47" s="4"/>
      <c r="O47" s="4"/>
    </row>
    <row r="48" spans="1:15" ht="13.8" x14ac:dyDescent="0.25">
      <c r="A48" s="12" t="s">
        <v>206</v>
      </c>
      <c r="B48" s="10"/>
      <c r="C48" s="119"/>
      <c r="D48" s="8"/>
      <c r="E48" s="36"/>
      <c r="F48" s="72">
        <f>F12-F47</f>
        <v>142.42559753392902</v>
      </c>
      <c r="G48" s="72">
        <f>G12-G47</f>
        <v>-87.739040837179459</v>
      </c>
      <c r="H48" s="72">
        <f>H12-H47</f>
        <v>225.20319473437502</v>
      </c>
      <c r="I48" s="11"/>
      <c r="J48" s="8"/>
      <c r="K48" s="4"/>
      <c r="L48" s="4"/>
      <c r="M48" s="4"/>
      <c r="N48" s="4"/>
      <c r="O48" s="4"/>
    </row>
    <row r="49" spans="1:15" x14ac:dyDescent="0.25">
      <c r="A49" s="4"/>
      <c r="B49" s="10"/>
      <c r="C49" s="119"/>
      <c r="D49" s="8"/>
      <c r="E49" s="36"/>
      <c r="F49" s="39"/>
      <c r="G49" s="39"/>
      <c r="H49" s="39"/>
      <c r="I49" s="11"/>
      <c r="J49" s="8"/>
      <c r="K49" s="4"/>
      <c r="L49" s="4"/>
      <c r="M49" s="4"/>
      <c r="N49" s="4"/>
      <c r="O49" s="4"/>
    </row>
    <row r="50" spans="1:15" x14ac:dyDescent="0.25">
      <c r="A50" s="4" t="s">
        <v>208</v>
      </c>
      <c r="B50" s="10"/>
      <c r="C50" s="119"/>
      <c r="D50" s="8"/>
      <c r="E50" s="36"/>
      <c r="F50" s="39"/>
      <c r="G50" s="39"/>
      <c r="H50" s="39"/>
      <c r="I50" s="11"/>
      <c r="J50" s="6"/>
      <c r="K50" s="4"/>
      <c r="L50" s="4"/>
      <c r="M50" s="4"/>
      <c r="N50" s="4"/>
      <c r="O50" s="4"/>
    </row>
    <row r="51" spans="1:15" x14ac:dyDescent="0.25">
      <c r="A51" s="7" t="s">
        <v>31</v>
      </c>
      <c r="B51" s="5">
        <v>1</v>
      </c>
      <c r="C51" s="119" t="s">
        <v>14</v>
      </c>
      <c r="D51" s="14">
        <v>20.350000000000001</v>
      </c>
      <c r="E51" s="34">
        <v>0</v>
      </c>
      <c r="F51" s="39">
        <f t="shared" ref="F51:F59" si="5">D51*B51</f>
        <v>20.350000000000001</v>
      </c>
      <c r="G51" s="39">
        <f t="shared" ref="G51:G59" si="6">F51*(1-E51)</f>
        <v>20.350000000000001</v>
      </c>
      <c r="H51" s="39">
        <f t="shared" ref="H51:H59" si="7">F51*E51</f>
        <v>0</v>
      </c>
      <c r="I51" s="21"/>
      <c r="J51" s="8"/>
      <c r="K51" s="4"/>
      <c r="L51" s="4"/>
      <c r="M51" s="4"/>
      <c r="N51" s="4"/>
      <c r="O51" s="4"/>
    </row>
    <row r="52" spans="1:15" x14ac:dyDescent="0.25">
      <c r="A52" s="7" t="s">
        <v>2</v>
      </c>
      <c r="B52" s="5">
        <v>1</v>
      </c>
      <c r="C52" s="119" t="s">
        <v>14</v>
      </c>
      <c r="D52" s="14">
        <v>7.83</v>
      </c>
      <c r="E52" s="34">
        <v>0</v>
      </c>
      <c r="F52" s="39">
        <f t="shared" si="5"/>
        <v>7.83</v>
      </c>
      <c r="G52" s="39">
        <f t="shared" si="6"/>
        <v>7.83</v>
      </c>
      <c r="H52" s="39">
        <f t="shared" si="7"/>
        <v>0</v>
      </c>
      <c r="I52" s="21"/>
      <c r="J52" s="8"/>
      <c r="K52" s="4"/>
      <c r="L52" s="4"/>
      <c r="M52" s="4"/>
      <c r="N52" s="4"/>
      <c r="O52" s="4"/>
    </row>
    <row r="53" spans="1:15" x14ac:dyDescent="0.25">
      <c r="A53" s="2" t="s">
        <v>273</v>
      </c>
      <c r="B53" s="5">
        <v>1</v>
      </c>
      <c r="C53" s="119" t="s">
        <v>14</v>
      </c>
      <c r="D53" s="14">
        <v>47.34</v>
      </c>
      <c r="E53" s="34">
        <v>0</v>
      </c>
      <c r="F53" s="39">
        <f t="shared" si="5"/>
        <v>47.34</v>
      </c>
      <c r="G53" s="39">
        <f t="shared" si="6"/>
        <v>47.34</v>
      </c>
      <c r="H53" s="39">
        <f t="shared" si="7"/>
        <v>0</v>
      </c>
      <c r="I53" s="21"/>
      <c r="J53" s="8"/>
      <c r="K53" s="4"/>
      <c r="L53" s="4"/>
      <c r="M53" s="4"/>
      <c r="N53" s="4"/>
      <c r="O53" s="4"/>
    </row>
    <row r="54" spans="1:15" x14ac:dyDescent="0.25">
      <c r="A54" s="7" t="s">
        <v>204</v>
      </c>
      <c r="B54" s="5">
        <v>1</v>
      </c>
      <c r="C54" s="119" t="s">
        <v>14</v>
      </c>
      <c r="D54" s="14">
        <v>0</v>
      </c>
      <c r="E54" s="34">
        <v>1</v>
      </c>
      <c r="F54" s="39">
        <f t="shared" si="5"/>
        <v>0</v>
      </c>
      <c r="G54" s="39">
        <f t="shared" si="6"/>
        <v>0</v>
      </c>
      <c r="H54" s="39">
        <f t="shared" si="7"/>
        <v>0</v>
      </c>
      <c r="I54" s="21"/>
      <c r="J54" s="8"/>
      <c r="K54" s="4"/>
      <c r="L54" s="4"/>
      <c r="M54" s="4"/>
      <c r="N54" s="4"/>
      <c r="O54" s="4"/>
    </row>
    <row r="55" spans="1:15" x14ac:dyDescent="0.25">
      <c r="A55" s="7" t="s">
        <v>33</v>
      </c>
      <c r="B55" s="5">
        <v>1</v>
      </c>
      <c r="C55" s="119" t="s">
        <v>14</v>
      </c>
      <c r="D55" s="14">
        <v>5.49</v>
      </c>
      <c r="E55" s="34">
        <v>0</v>
      </c>
      <c r="F55" s="39">
        <f t="shared" si="5"/>
        <v>5.49</v>
      </c>
      <c r="G55" s="39">
        <f t="shared" si="6"/>
        <v>5.49</v>
      </c>
      <c r="H55" s="39">
        <f t="shared" si="7"/>
        <v>0</v>
      </c>
      <c r="I55" s="21"/>
      <c r="J55" s="8"/>
      <c r="K55" s="4"/>
      <c r="L55" s="4"/>
      <c r="M55" s="4"/>
      <c r="N55" s="4"/>
      <c r="O55" s="4"/>
    </row>
    <row r="56" spans="1:15" x14ac:dyDescent="0.25">
      <c r="A56" s="7" t="s">
        <v>35</v>
      </c>
      <c r="B56" s="5">
        <v>1</v>
      </c>
      <c r="C56" s="119" t="s">
        <v>14</v>
      </c>
      <c r="D56" s="14">
        <v>0</v>
      </c>
      <c r="E56" s="34">
        <v>0</v>
      </c>
      <c r="F56" s="39">
        <f t="shared" si="5"/>
        <v>0</v>
      </c>
      <c r="G56" s="39">
        <f t="shared" si="6"/>
        <v>0</v>
      </c>
      <c r="H56" s="39">
        <f t="shared" si="7"/>
        <v>0</v>
      </c>
      <c r="I56" s="21"/>
      <c r="J56" s="8"/>
      <c r="K56" s="4"/>
      <c r="L56" s="4"/>
      <c r="M56" s="4"/>
      <c r="N56" s="4"/>
      <c r="O56" s="4"/>
    </row>
    <row r="57" spans="1:15" x14ac:dyDescent="0.25">
      <c r="A57" s="2" t="s">
        <v>272</v>
      </c>
      <c r="B57" s="5">
        <v>1</v>
      </c>
      <c r="C57" s="119" t="s">
        <v>14</v>
      </c>
      <c r="D57" s="14">
        <v>32.299999999999997</v>
      </c>
      <c r="E57" s="34">
        <v>0</v>
      </c>
      <c r="F57" s="39">
        <f t="shared" si="5"/>
        <v>32.299999999999997</v>
      </c>
      <c r="G57" s="39">
        <f t="shared" si="6"/>
        <v>32.299999999999997</v>
      </c>
      <c r="H57" s="39">
        <f t="shared" si="7"/>
        <v>0</v>
      </c>
      <c r="I57" s="65"/>
      <c r="J57" s="8"/>
      <c r="K57" s="4"/>
      <c r="L57" s="4"/>
      <c r="M57" s="4"/>
      <c r="N57" s="4"/>
      <c r="O57" s="4"/>
    </row>
    <row r="58" spans="1:15" x14ac:dyDescent="0.25">
      <c r="A58" s="7" t="s">
        <v>36</v>
      </c>
      <c r="B58" s="43">
        <v>1</v>
      </c>
      <c r="C58" s="119" t="s">
        <v>14</v>
      </c>
      <c r="D58" s="14">
        <v>120</v>
      </c>
      <c r="E58" s="34">
        <v>1</v>
      </c>
      <c r="F58" s="39">
        <f t="shared" si="5"/>
        <v>120</v>
      </c>
      <c r="G58" s="39">
        <f>IF($H$6="Cash",D58,F58*(1-E58))</f>
        <v>0</v>
      </c>
      <c r="H58" s="39">
        <f>IF($H$6="Cash",0,F58*E58)</f>
        <v>120</v>
      </c>
      <c r="I58" s="21"/>
      <c r="J58" s="8"/>
      <c r="K58" s="4"/>
      <c r="L58" s="4"/>
      <c r="M58" s="4"/>
      <c r="N58" s="4"/>
      <c r="O58" s="4"/>
    </row>
    <row r="59" spans="1:15" x14ac:dyDescent="0.25">
      <c r="A59" s="7" t="s">
        <v>42</v>
      </c>
      <c r="B59" s="43">
        <v>1</v>
      </c>
      <c r="C59" s="119" t="s">
        <v>14</v>
      </c>
      <c r="D59" s="14">
        <v>0</v>
      </c>
      <c r="E59" s="34">
        <v>1</v>
      </c>
      <c r="F59" s="39">
        <f t="shared" si="5"/>
        <v>0</v>
      </c>
      <c r="G59" s="39">
        <f t="shared" si="6"/>
        <v>0</v>
      </c>
      <c r="H59" s="39">
        <f t="shared" si="7"/>
        <v>0</v>
      </c>
      <c r="I59" s="65"/>
      <c r="J59" s="8"/>
      <c r="K59" s="4"/>
      <c r="L59" s="4"/>
      <c r="M59" s="4"/>
      <c r="N59" s="4"/>
      <c r="O59" s="4"/>
    </row>
    <row r="60" spans="1:15" x14ac:dyDescent="0.25">
      <c r="A60" s="4" t="s">
        <v>37</v>
      </c>
      <c r="B60" s="5"/>
      <c r="C60" s="119"/>
      <c r="D60" s="10"/>
      <c r="E60" s="36"/>
      <c r="F60" s="39">
        <f>SUM(F51:F59)</f>
        <v>233.31</v>
      </c>
      <c r="G60" s="39">
        <f>SUM(G51:G59)</f>
        <v>113.31</v>
      </c>
      <c r="H60" s="39">
        <f>SUM(H51:H59)</f>
        <v>120</v>
      </c>
      <c r="I60" s="6"/>
      <c r="J60" s="8"/>
      <c r="K60" s="4"/>
      <c r="L60" s="4"/>
      <c r="M60" s="4"/>
      <c r="N60" s="4"/>
      <c r="O60" s="4"/>
    </row>
    <row r="61" spans="1:15" x14ac:dyDescent="0.25">
      <c r="A61" s="4" t="s">
        <v>38</v>
      </c>
      <c r="B61" s="5"/>
      <c r="C61" s="119"/>
      <c r="D61" s="10"/>
      <c r="E61" s="36"/>
      <c r="F61" s="39">
        <f>F47+F60</f>
        <v>1038.584402466071</v>
      </c>
      <c r="G61" s="39">
        <f>G47+G60</f>
        <v>836.00804083717935</v>
      </c>
      <c r="H61" s="39">
        <f>H47+H60</f>
        <v>207.53780526562502</v>
      </c>
      <c r="I61" s="6"/>
      <c r="J61" s="8"/>
      <c r="K61" s="4"/>
      <c r="L61" s="4"/>
      <c r="M61" s="4"/>
      <c r="N61" s="4"/>
      <c r="O61" s="4"/>
    </row>
    <row r="62" spans="1:15" ht="13.8" x14ac:dyDescent="0.25">
      <c r="A62" s="12" t="s">
        <v>39</v>
      </c>
      <c r="B62" s="31"/>
      <c r="C62" s="141"/>
      <c r="D62" s="30"/>
      <c r="E62" s="73"/>
      <c r="F62" s="72">
        <f>F12-F61</f>
        <v>-90.884402466070924</v>
      </c>
      <c r="G62" s="72">
        <f>G12-G61</f>
        <v>-201.0490408371794</v>
      </c>
      <c r="H62" s="72">
        <f>H12-H61</f>
        <v>105.20319473437502</v>
      </c>
      <c r="I62" s="6"/>
      <c r="J62" s="8"/>
      <c r="K62" s="4"/>
      <c r="L62" s="4"/>
      <c r="M62" s="4"/>
      <c r="N62" s="4"/>
      <c r="O62" s="4"/>
    </row>
    <row r="63" spans="1:15" x14ac:dyDescent="0.25">
      <c r="A63" s="4"/>
      <c r="B63" s="5"/>
      <c r="C63" s="5"/>
      <c r="D63" s="10"/>
      <c r="E63" s="36"/>
      <c r="F63" s="8"/>
      <c r="G63" s="8"/>
      <c r="H63" s="8"/>
      <c r="I63" s="6"/>
      <c r="J63" s="8"/>
      <c r="K63" s="4"/>
      <c r="L63" s="4"/>
      <c r="M63" s="4"/>
      <c r="N63" s="4"/>
      <c r="O63" s="4"/>
    </row>
    <row r="64" spans="1:15" ht="13.8" x14ac:dyDescent="0.25">
      <c r="A64" s="113" t="s">
        <v>161</v>
      </c>
      <c r="B64" s="113"/>
      <c r="C64" s="113"/>
      <c r="D64" s="113"/>
      <c r="E64" s="114"/>
      <c r="F64" s="115">
        <f>(F62/F61)</f>
        <v>-8.7507960114045699E-2</v>
      </c>
      <c r="G64" s="115">
        <f t="shared" ref="G64:H64" si="8">(G62/G61)</f>
        <v>-0.24048697023996166</v>
      </c>
      <c r="H64" s="115">
        <f t="shared" si="8"/>
        <v>0.50691099195024625</v>
      </c>
      <c r="I64" s="4"/>
      <c r="J64" s="4"/>
      <c r="K64" s="4"/>
      <c r="L64" s="4"/>
      <c r="M64" s="4"/>
      <c r="N64" s="4"/>
      <c r="O64" s="4"/>
    </row>
    <row r="65" spans="2:15" x14ac:dyDescent="0.25">
      <c r="B65" s="1"/>
      <c r="C65" s="41"/>
      <c r="D65" s="46"/>
      <c r="E65" s="36"/>
      <c r="F65" s="42"/>
      <c r="G65" s="42"/>
      <c r="H65" s="42"/>
      <c r="I65" s="64"/>
      <c r="J65" s="42"/>
      <c r="K65" s="4"/>
      <c r="L65" s="4"/>
      <c r="M65" s="4"/>
      <c r="N65" s="4"/>
      <c r="O65" s="4"/>
    </row>
    <row r="66" spans="2:15" x14ac:dyDescent="0.25">
      <c r="C66" s="4"/>
      <c r="D66" s="4"/>
      <c r="E66" s="36"/>
      <c r="F66" s="4"/>
      <c r="G66" s="4"/>
      <c r="H66" s="4"/>
      <c r="I66" s="4"/>
      <c r="J66" s="4"/>
      <c r="K66" s="4"/>
      <c r="L66" s="4"/>
      <c r="M66" s="4"/>
      <c r="N66" s="4"/>
      <c r="O66" s="4"/>
    </row>
    <row r="67" spans="2:15" x14ac:dyDescent="0.25">
      <c r="C67" s="4"/>
      <c r="D67" s="4"/>
      <c r="E67" s="36"/>
      <c r="F67" s="4"/>
      <c r="G67" s="4"/>
      <c r="H67" s="4"/>
      <c r="I67" s="4"/>
      <c r="J67" s="4"/>
      <c r="K67" s="4"/>
      <c r="L67" s="4"/>
      <c r="M67" s="4"/>
      <c r="N67" s="4"/>
      <c r="O67" s="4"/>
    </row>
    <row r="68" spans="2:15" x14ac:dyDescent="0.25">
      <c r="C68" s="4"/>
      <c r="D68" s="4"/>
      <c r="E68" s="10"/>
      <c r="F68" s="4"/>
      <c r="G68" s="4"/>
      <c r="H68" s="4"/>
      <c r="I68" s="4"/>
      <c r="J68" s="4"/>
      <c r="K68" s="4"/>
      <c r="L68" s="4"/>
      <c r="M68" s="4"/>
      <c r="N68" s="4"/>
      <c r="O68" s="4"/>
    </row>
    <row r="69" spans="2:15" x14ac:dyDescent="0.25">
      <c r="C69" s="4"/>
      <c r="D69" s="4"/>
      <c r="E69" s="10"/>
      <c r="F69" s="4"/>
      <c r="G69" s="4"/>
      <c r="H69" s="4"/>
    </row>
    <row r="70" spans="2:15" x14ac:dyDescent="0.25">
      <c r="C70" s="4"/>
      <c r="D70" s="4"/>
      <c r="E70" s="10"/>
      <c r="F70" s="4"/>
      <c r="G70" s="4"/>
      <c r="H70" s="4"/>
    </row>
    <row r="71" spans="2:15" x14ac:dyDescent="0.25">
      <c r="C71" s="4"/>
      <c r="D71" s="4"/>
      <c r="E71" s="4"/>
      <c r="F71" s="4"/>
      <c r="G71" s="4"/>
      <c r="H71" s="4"/>
    </row>
    <row r="72" spans="2:15" x14ac:dyDescent="0.25">
      <c r="C72" s="4"/>
      <c r="D72" s="4"/>
      <c r="E72" s="46"/>
      <c r="F72" s="4"/>
      <c r="G72" s="4"/>
      <c r="H72"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8:A20">
      <formula1>Fert_Names</formula1>
    </dataValidation>
  </dataValidations>
  <printOptions horizontalCentered="1"/>
  <pageMargins left="0.25" right="0.25" top="0.75" bottom="0.75" header="0.3" footer="0.3"/>
  <pageSetup scale="80"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72"/>
  <sheetViews>
    <sheetView showGridLines="0" showRowColHeaders="0" zoomScale="90" zoomScaleNormal="90" workbookViewId="0">
      <pane ySplit="7" topLeftCell="A44" activePane="bottomLeft" state="frozen"/>
      <selection activeCell="B17" sqref="B17"/>
      <selection pane="bottomLeft" activeCell="B9" sqref="B9"/>
    </sheetView>
  </sheetViews>
  <sheetFormatPr defaultRowHeight="13.2" x14ac:dyDescent="0.25"/>
  <cols>
    <col min="1" max="1" width="35.5546875" customWidth="1"/>
    <col min="2" max="8" width="10.5546875" customWidth="1"/>
  </cols>
  <sheetData>
    <row r="1" spans="1:18" ht="32.25" customHeight="1" x14ac:dyDescent="0.25">
      <c r="A1" s="77"/>
      <c r="B1" s="77"/>
      <c r="C1" s="77"/>
      <c r="D1" s="77"/>
      <c r="E1" s="77"/>
      <c r="F1" s="77"/>
      <c r="G1" s="77"/>
      <c r="K1" s="77"/>
      <c r="L1" s="77"/>
      <c r="M1" s="77"/>
      <c r="N1" s="77"/>
      <c r="O1" s="77"/>
      <c r="P1" s="77"/>
      <c r="Q1" s="77"/>
      <c r="R1" s="77"/>
    </row>
    <row r="2" spans="1:18" ht="17.399999999999999" x14ac:dyDescent="0.3">
      <c r="A2" s="318" t="s">
        <v>194</v>
      </c>
      <c r="B2" s="318"/>
      <c r="C2" s="318"/>
      <c r="D2" s="318"/>
      <c r="E2" s="318"/>
      <c r="F2" s="318"/>
      <c r="G2" s="318"/>
      <c r="H2" s="318"/>
      <c r="I2" s="4"/>
      <c r="J2" s="4"/>
      <c r="K2" s="4"/>
      <c r="L2" s="4"/>
      <c r="M2" s="4"/>
      <c r="N2" s="4"/>
    </row>
    <row r="3" spans="1:18" ht="15" x14ac:dyDescent="0.25">
      <c r="A3" s="319" t="s">
        <v>163</v>
      </c>
      <c r="B3" s="319"/>
      <c r="C3" s="319"/>
      <c r="D3" s="319"/>
      <c r="E3" s="319"/>
      <c r="F3" s="319"/>
      <c r="G3" s="319"/>
      <c r="H3" s="319"/>
    </row>
    <row r="4" spans="1:18" ht="15" x14ac:dyDescent="0.25">
      <c r="A4" s="319" t="s">
        <v>269</v>
      </c>
      <c r="B4" s="319"/>
      <c r="C4" s="319"/>
      <c r="D4" s="319"/>
      <c r="E4" s="319"/>
      <c r="F4" s="319"/>
      <c r="G4" s="319"/>
      <c r="H4" s="319"/>
    </row>
    <row r="5" spans="1:18" ht="13.8" x14ac:dyDescent="0.25">
      <c r="A5" s="75"/>
      <c r="B5" s="40"/>
      <c r="C5" s="40"/>
      <c r="D5" s="40"/>
      <c r="E5" s="40"/>
      <c r="G5" s="245"/>
      <c r="H5" s="242" t="s">
        <v>102</v>
      </c>
      <c r="I5" s="69" t="s">
        <v>55</v>
      </c>
    </row>
    <row r="6" spans="1:18" ht="13.8" x14ac:dyDescent="0.25">
      <c r="A6" s="4" t="s">
        <v>3</v>
      </c>
      <c r="B6" s="53" t="s">
        <v>4</v>
      </c>
      <c r="C6" s="53" t="s">
        <v>5</v>
      </c>
      <c r="D6" s="53" t="s">
        <v>6</v>
      </c>
      <c r="E6" s="53" t="s">
        <v>53</v>
      </c>
      <c r="F6" s="248" t="s">
        <v>151</v>
      </c>
      <c r="G6" s="244"/>
      <c r="H6" s="112" t="s">
        <v>55</v>
      </c>
      <c r="I6" s="70" t="s">
        <v>103</v>
      </c>
    </row>
    <row r="7" spans="1:18" x14ac:dyDescent="0.25">
      <c r="A7" s="4"/>
      <c r="B7" s="5"/>
      <c r="C7" s="5"/>
      <c r="D7" s="5"/>
      <c r="E7" s="53" t="s">
        <v>55</v>
      </c>
      <c r="F7" s="53" t="s">
        <v>56</v>
      </c>
      <c r="G7" s="53" t="s">
        <v>52</v>
      </c>
      <c r="H7" s="53" t="s">
        <v>53</v>
      </c>
    </row>
    <row r="8" spans="1:18" x14ac:dyDescent="0.25">
      <c r="A8" s="4" t="s">
        <v>7</v>
      </c>
      <c r="B8" s="5"/>
      <c r="C8" s="5"/>
      <c r="D8" s="5"/>
      <c r="E8" s="5"/>
      <c r="F8" s="5"/>
      <c r="G8" s="5"/>
      <c r="H8" s="5"/>
    </row>
    <row r="9" spans="1:18" x14ac:dyDescent="0.25">
      <c r="A9" s="7" t="s">
        <v>8</v>
      </c>
      <c r="B9" s="23">
        <v>1250</v>
      </c>
      <c r="C9" s="119" t="s">
        <v>79</v>
      </c>
      <c r="D9" s="80">
        <f>'Universal Input Prices'!$B$8</f>
        <v>0.65</v>
      </c>
      <c r="E9" s="34">
        <v>0.33</v>
      </c>
      <c r="F9" s="39">
        <f>D9*B9</f>
        <v>812.5</v>
      </c>
      <c r="G9" s="39">
        <f>F9*(1-E9)</f>
        <v>544.37499999999989</v>
      </c>
      <c r="H9" s="39">
        <f>IF(H6="Cash", D63,F9*E9)</f>
        <v>268.125</v>
      </c>
    </row>
    <row r="10" spans="1:18" x14ac:dyDescent="0.25">
      <c r="A10" s="7" t="s">
        <v>9</v>
      </c>
      <c r="B10" s="83">
        <f>B9/500*'Universal Input Prices'!B39/2000</f>
        <v>0.9375</v>
      </c>
      <c r="C10" s="119" t="s">
        <v>10</v>
      </c>
      <c r="D10" s="55">
        <f>'Universal Input Prices'!$B$9</f>
        <v>200</v>
      </c>
      <c r="E10" s="34">
        <v>0.33</v>
      </c>
      <c r="F10" s="39">
        <f>D10*B10</f>
        <v>187.5</v>
      </c>
      <c r="G10" s="39">
        <f>F10*(1-E10)</f>
        <v>125.62499999999999</v>
      </c>
      <c r="H10" s="39">
        <f>IF(H6="Cash", 0,F10*E10)</f>
        <v>61.875</v>
      </c>
    </row>
    <row r="11" spans="1:18" x14ac:dyDescent="0.25">
      <c r="A11" s="9" t="s">
        <v>11</v>
      </c>
      <c r="B11" s="19">
        <v>0.27250000000000002</v>
      </c>
      <c r="C11" s="267"/>
      <c r="D11" s="8"/>
      <c r="E11" s="35"/>
      <c r="F11" s="39"/>
      <c r="G11" s="39"/>
      <c r="H11" s="39"/>
    </row>
    <row r="12" spans="1:18" x14ac:dyDescent="0.25">
      <c r="A12" s="7" t="s">
        <v>263</v>
      </c>
      <c r="B12" s="47">
        <v>0</v>
      </c>
      <c r="C12" s="119" t="s">
        <v>264</v>
      </c>
      <c r="D12" s="55">
        <v>1</v>
      </c>
      <c r="E12" s="34">
        <v>0.33</v>
      </c>
      <c r="F12" s="39">
        <f>D12*B12</f>
        <v>0</v>
      </c>
      <c r="G12" s="39">
        <f>F12*(1-E12)</f>
        <v>0</v>
      </c>
      <c r="H12" s="39">
        <f>IF(H9="Cash", D61,F12*E12)</f>
        <v>0</v>
      </c>
      <c r="I12" s="4"/>
    </row>
    <row r="13" spans="1:18" x14ac:dyDescent="0.25">
      <c r="A13" s="4" t="s">
        <v>12</v>
      </c>
      <c r="B13" s="5"/>
      <c r="C13" s="119"/>
      <c r="D13" s="8"/>
      <c r="E13" s="35"/>
      <c r="F13" s="39">
        <f>SUM(F8:F12)</f>
        <v>1000</v>
      </c>
      <c r="G13" s="39">
        <f t="shared" ref="G13:H13" si="0">SUM(G8:G12)</f>
        <v>669.99999999999989</v>
      </c>
      <c r="H13" s="39">
        <f t="shared" si="0"/>
        <v>330</v>
      </c>
    </row>
    <row r="14" spans="1:18" x14ac:dyDescent="0.25">
      <c r="A14" s="4"/>
      <c r="B14" s="5"/>
      <c r="C14" s="119"/>
      <c r="D14" s="8"/>
      <c r="E14" s="35"/>
      <c r="F14" s="39"/>
      <c r="G14" s="39"/>
      <c r="H14" s="39"/>
    </row>
    <row r="15" spans="1:18" x14ac:dyDescent="0.25">
      <c r="A15" s="4" t="s">
        <v>207</v>
      </c>
      <c r="B15" s="5"/>
      <c r="C15" s="119"/>
      <c r="D15" s="8"/>
      <c r="E15" s="35"/>
      <c r="F15" s="39"/>
      <c r="G15" s="39"/>
      <c r="H15" s="39"/>
    </row>
    <row r="16" spans="1:18" x14ac:dyDescent="0.25">
      <c r="A16" s="4" t="s">
        <v>1</v>
      </c>
      <c r="B16" s="5"/>
      <c r="C16" s="119"/>
      <c r="D16" s="8"/>
      <c r="E16" s="35"/>
      <c r="F16" s="39"/>
      <c r="G16" s="39"/>
      <c r="H16" s="39"/>
      <c r="L16" s="52"/>
    </row>
    <row r="17" spans="1:12" x14ac:dyDescent="0.25">
      <c r="A17" s="7" t="s">
        <v>9</v>
      </c>
      <c r="B17" s="28">
        <v>0.22</v>
      </c>
      <c r="C17" s="119" t="s">
        <v>139</v>
      </c>
      <c r="D17" s="13">
        <v>385</v>
      </c>
      <c r="E17" s="34">
        <v>0</v>
      </c>
      <c r="F17" s="39">
        <f>D17*B17</f>
        <v>84.7</v>
      </c>
      <c r="G17" s="39">
        <f>F17*(1-E17)</f>
        <v>84.7</v>
      </c>
      <c r="H17" s="39">
        <f>+F17*E17</f>
        <v>0</v>
      </c>
      <c r="L17" s="52"/>
    </row>
    <row r="18" spans="1:12" x14ac:dyDescent="0.25">
      <c r="A18" s="4" t="s">
        <v>13</v>
      </c>
      <c r="B18" s="25">
        <v>1</v>
      </c>
      <c r="C18" s="119" t="s">
        <v>14</v>
      </c>
      <c r="D18" s="14">
        <v>0.7</v>
      </c>
      <c r="E18" s="34">
        <v>0.33</v>
      </c>
      <c r="F18" s="39">
        <f>D18*B18</f>
        <v>0.7</v>
      </c>
      <c r="G18" s="39">
        <f>F18*(1-E18)</f>
        <v>0.46899999999999992</v>
      </c>
      <c r="H18" s="39">
        <f>+F18*E18</f>
        <v>0.23099999999999998</v>
      </c>
    </row>
    <row r="19" spans="1:12" x14ac:dyDescent="0.25">
      <c r="A19" s="4" t="s">
        <v>0</v>
      </c>
      <c r="B19" s="26"/>
      <c r="C19" s="119"/>
      <c r="D19" s="15"/>
      <c r="E19" s="36"/>
      <c r="F19" s="39"/>
      <c r="G19" s="39"/>
      <c r="H19" s="39"/>
    </row>
    <row r="20" spans="1:12" x14ac:dyDescent="0.25">
      <c r="A20" s="302" t="s">
        <v>133</v>
      </c>
      <c r="B20" s="24">
        <v>40</v>
      </c>
      <c r="C20" s="119" t="s">
        <v>79</v>
      </c>
      <c r="D20" s="54">
        <f>IF(A20="",0,VLOOKUP(A20,'Universal Input Prices'!$A$26:$B$30, 2))</f>
        <v>0.42980769230769234</v>
      </c>
      <c r="E20" s="34">
        <v>0.33</v>
      </c>
      <c r="F20" s="39">
        <f>D20*B20</f>
        <v>17.192307692307693</v>
      </c>
      <c r="G20" s="39">
        <f>F20*(1-E20)</f>
        <v>11.518846153846154</v>
      </c>
      <c r="H20" s="39">
        <f>+F20*E20</f>
        <v>5.673461538461539</v>
      </c>
    </row>
    <row r="21" spans="1:12" x14ac:dyDescent="0.25">
      <c r="A21" s="302" t="s">
        <v>134</v>
      </c>
      <c r="B21" s="312">
        <v>129.80000000000001</v>
      </c>
      <c r="C21" s="119" t="s">
        <v>79</v>
      </c>
      <c r="D21" s="54">
        <f>IF(A21="",0,VLOOKUP(A21,'Universal Input Prices'!$A$26:$B$30, 2))</f>
        <v>0.33043478260869563</v>
      </c>
      <c r="E21" s="34">
        <v>0.33</v>
      </c>
      <c r="F21" s="39">
        <f>D21*B21</f>
        <v>42.890434782608693</v>
      </c>
      <c r="G21" s="39">
        <f>F21*(1-E21)</f>
        <v>28.736591304347822</v>
      </c>
      <c r="H21" s="39">
        <f>+F21*E21</f>
        <v>14.153843478260869</v>
      </c>
    </row>
    <row r="22" spans="1:12" x14ac:dyDescent="0.25">
      <c r="A22" s="302"/>
      <c r="B22" s="24">
        <v>0</v>
      </c>
      <c r="C22" s="119" t="s">
        <v>79</v>
      </c>
      <c r="D22" s="54">
        <f>IF(A22="",0,VLOOKUP(A22,'Universal Input Prices'!$A$26:$B$30, 2))</f>
        <v>0</v>
      </c>
      <c r="E22" s="34">
        <v>0</v>
      </c>
      <c r="F22" s="39">
        <f>D22*B22</f>
        <v>0</v>
      </c>
      <c r="G22" s="39">
        <f>F22*(1-E22)</f>
        <v>0</v>
      </c>
      <c r="H22" s="39">
        <f>F22*E22</f>
        <v>0</v>
      </c>
      <c r="I22" s="4"/>
    </row>
    <row r="23" spans="1:12" x14ac:dyDescent="0.25">
      <c r="A23" s="4" t="s">
        <v>15</v>
      </c>
      <c r="B23" s="27"/>
      <c r="C23" s="119"/>
      <c r="D23" s="8"/>
      <c r="E23" s="35"/>
      <c r="F23" s="39"/>
      <c r="G23" s="39"/>
      <c r="H23" s="39"/>
    </row>
    <row r="24" spans="1:12" x14ac:dyDescent="0.25">
      <c r="A24" s="2" t="s">
        <v>238</v>
      </c>
      <c r="B24" s="24">
        <v>1</v>
      </c>
      <c r="C24" s="119" t="s">
        <v>14</v>
      </c>
      <c r="D24" s="14">
        <v>14.5</v>
      </c>
      <c r="E24" s="34">
        <v>0.33</v>
      </c>
      <c r="F24" s="39">
        <f t="shared" ref="F24:F41" si="1">D24*B24</f>
        <v>14.5</v>
      </c>
      <c r="G24" s="39">
        <f t="shared" ref="G24:G41" si="2">F24*(1-E24)</f>
        <v>9.7149999999999999</v>
      </c>
      <c r="H24" s="39">
        <f t="shared" ref="H24:H41" si="3">+F24*E24</f>
        <v>4.7850000000000001</v>
      </c>
    </row>
    <row r="25" spans="1:12" x14ac:dyDescent="0.25">
      <c r="A25" s="2" t="s">
        <v>239</v>
      </c>
      <c r="B25" s="24">
        <v>1</v>
      </c>
      <c r="C25" s="119" t="s">
        <v>14</v>
      </c>
      <c r="D25" s="14">
        <v>19.399999999999999</v>
      </c>
      <c r="E25" s="34">
        <v>0.33</v>
      </c>
      <c r="F25" s="39">
        <f>D25*B25</f>
        <v>19.399999999999999</v>
      </c>
      <c r="G25" s="39">
        <f t="shared" si="2"/>
        <v>12.997999999999998</v>
      </c>
      <c r="H25" s="39">
        <f t="shared" si="3"/>
        <v>6.4020000000000001</v>
      </c>
    </row>
    <row r="26" spans="1:12" x14ac:dyDescent="0.25">
      <c r="A26" s="7" t="s">
        <v>43</v>
      </c>
      <c r="B26" s="24">
        <v>1</v>
      </c>
      <c r="C26" s="119" t="s">
        <v>14</v>
      </c>
      <c r="D26" s="14">
        <v>5</v>
      </c>
      <c r="E26" s="34">
        <v>0.33</v>
      </c>
      <c r="F26" s="39">
        <f t="shared" si="1"/>
        <v>5</v>
      </c>
      <c r="G26" s="39">
        <f t="shared" si="2"/>
        <v>3.3499999999999996</v>
      </c>
      <c r="H26" s="39">
        <f t="shared" si="3"/>
        <v>1.6500000000000001</v>
      </c>
    </row>
    <row r="27" spans="1:12" x14ac:dyDescent="0.25">
      <c r="A27" s="2" t="s">
        <v>237</v>
      </c>
      <c r="B27" s="24">
        <v>1</v>
      </c>
      <c r="C27" s="119" t="s">
        <v>14</v>
      </c>
      <c r="D27" s="14">
        <v>9.6</v>
      </c>
      <c r="E27" s="34">
        <v>0.33</v>
      </c>
      <c r="F27" s="39">
        <f t="shared" si="1"/>
        <v>9.6</v>
      </c>
      <c r="G27" s="39">
        <f t="shared" si="2"/>
        <v>6.4319999999999995</v>
      </c>
      <c r="H27" s="39">
        <f t="shared" si="3"/>
        <v>3.1680000000000001</v>
      </c>
    </row>
    <row r="28" spans="1:12" x14ac:dyDescent="0.25">
      <c r="A28" s="7" t="s">
        <v>16</v>
      </c>
      <c r="B28" s="24">
        <v>0.75</v>
      </c>
      <c r="C28" s="119" t="s">
        <v>14</v>
      </c>
      <c r="D28" s="14">
        <v>25</v>
      </c>
      <c r="E28" s="34">
        <v>0.33</v>
      </c>
      <c r="F28" s="39">
        <f t="shared" si="1"/>
        <v>18.75</v>
      </c>
      <c r="G28" s="39">
        <f t="shared" si="2"/>
        <v>12.562499999999998</v>
      </c>
      <c r="H28" s="39">
        <f t="shared" si="3"/>
        <v>6.1875</v>
      </c>
    </row>
    <row r="29" spans="1:12" x14ac:dyDescent="0.25">
      <c r="A29" s="7" t="s">
        <v>138</v>
      </c>
      <c r="B29" s="27">
        <f>B9/100</f>
        <v>12.5</v>
      </c>
      <c r="C29" s="119" t="s">
        <v>19</v>
      </c>
      <c r="D29" s="55">
        <f>'Universal Input Prices'!$B$37</f>
        <v>8</v>
      </c>
      <c r="E29" s="34">
        <v>0</v>
      </c>
      <c r="F29" s="39">
        <f t="shared" si="1"/>
        <v>100</v>
      </c>
      <c r="G29" s="39">
        <f t="shared" si="2"/>
        <v>100</v>
      </c>
      <c r="H29" s="39">
        <f t="shared" si="3"/>
        <v>0</v>
      </c>
    </row>
    <row r="30" spans="1:12" x14ac:dyDescent="0.25">
      <c r="A30" s="7" t="s">
        <v>18</v>
      </c>
      <c r="B30" s="5">
        <f>B9/B11/100</f>
        <v>45.871559633027516</v>
      </c>
      <c r="C30" s="119" t="s">
        <v>19</v>
      </c>
      <c r="D30" s="55">
        <f>'Universal Input Prices'!$B$38</f>
        <v>2.75</v>
      </c>
      <c r="E30" s="34">
        <v>0.33</v>
      </c>
      <c r="F30" s="39">
        <f t="shared" si="1"/>
        <v>126.14678899082567</v>
      </c>
      <c r="G30" s="39">
        <f t="shared" si="2"/>
        <v>84.518348623853186</v>
      </c>
      <c r="H30" s="39">
        <f t="shared" si="3"/>
        <v>41.62844036697247</v>
      </c>
    </row>
    <row r="31" spans="1:12" x14ac:dyDescent="0.25">
      <c r="A31" s="7" t="s">
        <v>20</v>
      </c>
      <c r="B31" s="24">
        <v>1</v>
      </c>
      <c r="C31" s="119" t="s">
        <v>14</v>
      </c>
      <c r="D31" s="14">
        <v>0</v>
      </c>
      <c r="E31" s="34">
        <v>0</v>
      </c>
      <c r="F31" s="39">
        <f t="shared" si="1"/>
        <v>0</v>
      </c>
      <c r="G31" s="39">
        <f t="shared" si="2"/>
        <v>0</v>
      </c>
      <c r="H31" s="39">
        <f t="shared" si="3"/>
        <v>0</v>
      </c>
    </row>
    <row r="32" spans="1:12" x14ac:dyDescent="0.25">
      <c r="A32" s="2" t="s">
        <v>21</v>
      </c>
      <c r="B32" s="24">
        <v>1</v>
      </c>
      <c r="C32" s="119" t="s">
        <v>14</v>
      </c>
      <c r="D32" s="14">
        <v>0</v>
      </c>
      <c r="E32" s="34">
        <v>0</v>
      </c>
      <c r="F32" s="39">
        <f>D32*B32</f>
        <v>0</v>
      </c>
      <c r="G32" s="39">
        <f>F32*(1-E32)</f>
        <v>0</v>
      </c>
      <c r="H32" s="39">
        <f>+F32*E32</f>
        <v>0</v>
      </c>
    </row>
    <row r="33" spans="1:9" x14ac:dyDescent="0.25">
      <c r="A33" s="16" t="s">
        <v>40</v>
      </c>
      <c r="B33" s="24">
        <v>1</v>
      </c>
      <c r="C33" s="265" t="s">
        <v>14</v>
      </c>
      <c r="D33" s="14">
        <v>0</v>
      </c>
      <c r="E33" s="34">
        <v>0</v>
      </c>
      <c r="F33" s="39">
        <f t="shared" si="1"/>
        <v>0</v>
      </c>
      <c r="G33" s="39">
        <f t="shared" si="2"/>
        <v>0</v>
      </c>
      <c r="H33" s="39">
        <f t="shared" si="3"/>
        <v>0</v>
      </c>
    </row>
    <row r="34" spans="1:9" x14ac:dyDescent="0.25">
      <c r="A34" s="16" t="s">
        <v>40</v>
      </c>
      <c r="B34" s="24">
        <v>1</v>
      </c>
      <c r="C34" s="265" t="s">
        <v>14</v>
      </c>
      <c r="D34" s="14">
        <v>0</v>
      </c>
      <c r="E34" s="34">
        <v>0</v>
      </c>
      <c r="F34" s="39">
        <f t="shared" si="1"/>
        <v>0</v>
      </c>
      <c r="G34" s="39">
        <f t="shared" si="2"/>
        <v>0</v>
      </c>
      <c r="H34" s="39">
        <f t="shared" si="3"/>
        <v>0</v>
      </c>
    </row>
    <row r="35" spans="1:9" x14ac:dyDescent="0.25">
      <c r="A35" s="16" t="s">
        <v>40</v>
      </c>
      <c r="B35" s="24">
        <v>1</v>
      </c>
      <c r="C35" s="265" t="s">
        <v>14</v>
      </c>
      <c r="D35" s="14">
        <v>0</v>
      </c>
      <c r="E35" s="34">
        <v>0</v>
      </c>
      <c r="F35" s="39">
        <f t="shared" si="1"/>
        <v>0</v>
      </c>
      <c r="G35" s="39">
        <f t="shared" si="2"/>
        <v>0</v>
      </c>
      <c r="H35" s="39">
        <f t="shared" si="3"/>
        <v>0</v>
      </c>
    </row>
    <row r="36" spans="1:9" x14ac:dyDescent="0.25">
      <c r="A36" s="4" t="s">
        <v>22</v>
      </c>
      <c r="B36" s="24">
        <v>1</v>
      </c>
      <c r="C36" s="119" t="s">
        <v>14</v>
      </c>
      <c r="D36" s="14">
        <v>55</v>
      </c>
      <c r="E36" s="34">
        <v>0.33</v>
      </c>
      <c r="F36" s="39">
        <f t="shared" si="1"/>
        <v>55</v>
      </c>
      <c r="G36" s="39">
        <f t="shared" si="2"/>
        <v>36.849999999999994</v>
      </c>
      <c r="H36" s="39">
        <f t="shared" si="3"/>
        <v>18.150000000000002</v>
      </c>
    </row>
    <row r="37" spans="1:9" x14ac:dyDescent="0.25">
      <c r="A37" s="4" t="s">
        <v>140</v>
      </c>
      <c r="B37" s="28">
        <v>1.1499999999999999</v>
      </c>
      <c r="C37" s="119" t="s">
        <v>23</v>
      </c>
      <c r="D37" s="55">
        <f>'Universal Input Prices'!$B$31</f>
        <v>12.45</v>
      </c>
      <c r="E37" s="34">
        <v>0</v>
      </c>
      <c r="F37" s="39">
        <f t="shared" si="1"/>
        <v>14.317499999999997</v>
      </c>
      <c r="G37" s="39">
        <f t="shared" si="2"/>
        <v>14.317499999999997</v>
      </c>
      <c r="H37" s="39">
        <f t="shared" si="3"/>
        <v>0</v>
      </c>
    </row>
    <row r="38" spans="1:9" x14ac:dyDescent="0.25">
      <c r="A38" s="4" t="s">
        <v>24</v>
      </c>
      <c r="B38" s="28">
        <v>0.76800000000000002</v>
      </c>
      <c r="C38" s="119" t="s">
        <v>23</v>
      </c>
      <c r="D38" s="55">
        <f>'Universal Input Prices'!$B$31</f>
        <v>12.45</v>
      </c>
      <c r="E38" s="34">
        <v>0</v>
      </c>
      <c r="F38" s="39">
        <f t="shared" si="1"/>
        <v>9.5616000000000003</v>
      </c>
      <c r="G38" s="39">
        <f t="shared" si="2"/>
        <v>9.5616000000000003</v>
      </c>
      <c r="H38" s="39">
        <f t="shared" si="3"/>
        <v>0</v>
      </c>
    </row>
    <row r="39" spans="1:9" x14ac:dyDescent="0.25">
      <c r="A39" s="4" t="s">
        <v>25</v>
      </c>
      <c r="B39" s="28">
        <v>2.88</v>
      </c>
      <c r="C39" s="119" t="s">
        <v>26</v>
      </c>
      <c r="D39" s="55">
        <f>'Universal Input Prices'!$B$32</f>
        <v>1.81</v>
      </c>
      <c r="E39" s="34">
        <v>0</v>
      </c>
      <c r="F39" s="39">
        <f t="shared" si="1"/>
        <v>5.2127999999999997</v>
      </c>
      <c r="G39" s="39">
        <f t="shared" si="2"/>
        <v>5.2127999999999997</v>
      </c>
      <c r="H39" s="39">
        <f t="shared" si="3"/>
        <v>0</v>
      </c>
    </row>
    <row r="40" spans="1:9" x14ac:dyDescent="0.25">
      <c r="A40" s="4" t="s">
        <v>27</v>
      </c>
      <c r="B40" s="186">
        <v>3.4830768999999999</v>
      </c>
      <c r="C40" s="119" t="s">
        <v>26</v>
      </c>
      <c r="D40" s="55">
        <f>'Universal Input Prices'!$B$33</f>
        <v>1.9259999999999999</v>
      </c>
      <c r="E40" s="34">
        <v>0</v>
      </c>
      <c r="F40" s="39">
        <f t="shared" si="1"/>
        <v>6.7084061093999994</v>
      </c>
      <c r="G40" s="39">
        <f t="shared" si="2"/>
        <v>6.7084061093999994</v>
      </c>
      <c r="H40" s="39">
        <f t="shared" si="3"/>
        <v>0</v>
      </c>
    </row>
    <row r="41" spans="1:9" x14ac:dyDescent="0.25">
      <c r="A41" s="4" t="s">
        <v>28</v>
      </c>
      <c r="B41" s="28">
        <v>12</v>
      </c>
      <c r="C41" s="119" t="s">
        <v>29</v>
      </c>
      <c r="D41" s="55">
        <f>'Universal Input Prices'!$B$34</f>
        <v>3.6</v>
      </c>
      <c r="E41" s="34">
        <v>0.33</v>
      </c>
      <c r="F41" s="39">
        <f t="shared" si="1"/>
        <v>43.2</v>
      </c>
      <c r="G41" s="39">
        <f t="shared" si="2"/>
        <v>28.943999999999999</v>
      </c>
      <c r="H41" s="39">
        <f t="shared" si="3"/>
        <v>14.256000000000002</v>
      </c>
    </row>
    <row r="42" spans="1:9" hidden="1" x14ac:dyDescent="0.25">
      <c r="A42" s="4" t="s">
        <v>248</v>
      </c>
      <c r="B42" s="28">
        <v>75.430000000000007</v>
      </c>
      <c r="C42" s="119"/>
      <c r="D42" s="55"/>
      <c r="E42" s="34"/>
      <c r="F42" s="39"/>
      <c r="G42" s="39"/>
      <c r="H42" s="39"/>
      <c r="I42" s="4"/>
    </row>
    <row r="43" spans="1:9" hidden="1" x14ac:dyDescent="0.25">
      <c r="A43" s="4" t="s">
        <v>249</v>
      </c>
      <c r="B43" s="48">
        <f>B41*18.85694/B42</f>
        <v>2.9999109107782052</v>
      </c>
      <c r="C43" s="119"/>
      <c r="D43" s="55"/>
      <c r="E43" s="34"/>
      <c r="F43" s="39"/>
      <c r="G43" s="39"/>
      <c r="H43" s="39"/>
      <c r="I43" s="4"/>
    </row>
    <row r="44" spans="1:9" x14ac:dyDescent="0.25">
      <c r="A44" s="4" t="s">
        <v>30</v>
      </c>
      <c r="B44" s="5"/>
      <c r="C44" s="119"/>
      <c r="D44" s="15"/>
      <c r="E44" s="36"/>
      <c r="F44" s="39"/>
      <c r="G44" s="39"/>
      <c r="H44" s="39"/>
    </row>
    <row r="45" spans="1:9" x14ac:dyDescent="0.25">
      <c r="A45" s="7" t="s">
        <v>31</v>
      </c>
      <c r="B45" s="5">
        <v>1</v>
      </c>
      <c r="C45" s="119" t="s">
        <v>14</v>
      </c>
      <c r="D45" s="14">
        <v>4.75</v>
      </c>
      <c r="E45" s="34">
        <v>0</v>
      </c>
      <c r="F45" s="39">
        <f>D45*B45</f>
        <v>4.75</v>
      </c>
      <c r="G45" s="39">
        <f>F45*(1-E45)</f>
        <v>4.75</v>
      </c>
      <c r="H45" s="39">
        <f>+F45*E45</f>
        <v>0</v>
      </c>
    </row>
    <row r="46" spans="1:9" x14ac:dyDescent="0.25">
      <c r="A46" s="7" t="s">
        <v>2</v>
      </c>
      <c r="B46" s="5">
        <v>1</v>
      </c>
      <c r="C46" s="119" t="s">
        <v>14</v>
      </c>
      <c r="D46" s="14">
        <v>5.27</v>
      </c>
      <c r="E46" s="34">
        <v>0</v>
      </c>
      <c r="F46" s="39">
        <f>D46*B46</f>
        <v>5.27</v>
      </c>
      <c r="G46" s="39">
        <f>F46*(1-E46)</f>
        <v>5.27</v>
      </c>
      <c r="H46" s="39">
        <f>+F46*E46</f>
        <v>0</v>
      </c>
    </row>
    <row r="47" spans="1:9" x14ac:dyDescent="0.25">
      <c r="A47" s="7" t="s">
        <v>32</v>
      </c>
      <c r="B47" s="5">
        <f>Cotton_Inches</f>
        <v>12</v>
      </c>
      <c r="C47" s="119" t="s">
        <v>29</v>
      </c>
      <c r="D47" s="14">
        <v>4.04</v>
      </c>
      <c r="E47" s="34">
        <v>0</v>
      </c>
      <c r="F47" s="39">
        <f>D47*B47</f>
        <v>48.480000000000004</v>
      </c>
      <c r="G47" s="39">
        <f>F47*(1-E47)</f>
        <v>48.480000000000004</v>
      </c>
      <c r="H47" s="39">
        <f>+F47*E47</f>
        <v>0</v>
      </c>
    </row>
    <row r="48" spans="1:9" x14ac:dyDescent="0.25">
      <c r="A48" s="7" t="s">
        <v>204</v>
      </c>
      <c r="B48" s="5">
        <v>1</v>
      </c>
      <c r="C48" s="119" t="s">
        <v>14</v>
      </c>
      <c r="D48" s="14">
        <v>0</v>
      </c>
      <c r="E48" s="34">
        <v>1</v>
      </c>
      <c r="F48" s="39">
        <f>D48*B48</f>
        <v>0</v>
      </c>
      <c r="G48" s="39">
        <f>F48*(1-E48)</f>
        <v>0</v>
      </c>
      <c r="H48" s="39">
        <f>+F48*E48</f>
        <v>0</v>
      </c>
    </row>
    <row r="49" spans="1:8" x14ac:dyDescent="0.25">
      <c r="A49" s="7" t="s">
        <v>33</v>
      </c>
      <c r="B49" s="5">
        <v>1</v>
      </c>
      <c r="C49" s="119" t="s">
        <v>14</v>
      </c>
      <c r="D49" s="14">
        <v>4.26</v>
      </c>
      <c r="E49" s="34">
        <v>0</v>
      </c>
      <c r="F49" s="39">
        <f>D49*B49</f>
        <v>4.26</v>
      </c>
      <c r="G49" s="39">
        <f>F49*(1-E49)</f>
        <v>4.26</v>
      </c>
      <c r="H49" s="39">
        <f>+F49*E49</f>
        <v>0</v>
      </c>
    </row>
    <row r="50" spans="1:8" x14ac:dyDescent="0.25">
      <c r="A50" s="4" t="s">
        <v>34</v>
      </c>
      <c r="B50" s="89">
        <f>'Universal Input Prices'!$B$35</f>
        <v>5.3999999999999999E-2</v>
      </c>
      <c r="C50" s="119"/>
      <c r="D50" s="22"/>
      <c r="E50" s="36"/>
      <c r="F50" s="158">
        <f>(SUM(F17:F27,F31:F49))*$B50/1.85</f>
        <v>11.405472769488155</v>
      </c>
      <c r="G50" s="158">
        <f t="shared" ref="G50:H50" si="4">(SUM(G17:G27,G31:G49))*$B50/2</f>
        <v>8.7013910763250344</v>
      </c>
      <c r="H50" s="158">
        <f t="shared" si="4"/>
        <v>1.8486712354515051</v>
      </c>
    </row>
    <row r="51" spans="1:8" x14ac:dyDescent="0.25">
      <c r="A51" s="4"/>
      <c r="B51" s="10"/>
      <c r="C51" s="119"/>
      <c r="D51" s="8"/>
      <c r="E51" s="35"/>
      <c r="F51" s="39"/>
      <c r="G51" s="39"/>
      <c r="H51" s="39"/>
    </row>
    <row r="52" spans="1:8" x14ac:dyDescent="0.25">
      <c r="A52" s="4" t="s">
        <v>205</v>
      </c>
      <c r="B52" s="10"/>
      <c r="C52" s="119"/>
      <c r="D52" s="8"/>
      <c r="E52" s="35"/>
      <c r="F52" s="39">
        <f>SUM(F17:F50)</f>
        <v>647.04531034463025</v>
      </c>
      <c r="G52" s="39">
        <f>SUM(G17:G50)</f>
        <v>528.05598326777215</v>
      </c>
      <c r="H52" s="39">
        <f>SUM(H17:H50)</f>
        <v>118.13391661914639</v>
      </c>
    </row>
    <row r="53" spans="1:8" ht="13.8" x14ac:dyDescent="0.25">
      <c r="A53" s="12" t="s">
        <v>206</v>
      </c>
      <c r="B53" s="30"/>
      <c r="C53" s="141"/>
      <c r="D53" s="3"/>
      <c r="E53" s="38"/>
      <c r="F53" s="72">
        <f>F13-F52</f>
        <v>352.95468965536975</v>
      </c>
      <c r="G53" s="72">
        <f>G13-G52</f>
        <v>141.94401673222774</v>
      </c>
      <c r="H53" s="72">
        <f>H13-H52</f>
        <v>211.86608338085361</v>
      </c>
    </row>
    <row r="54" spans="1:8" ht="15.6" x14ac:dyDescent="0.3">
      <c r="A54" s="4"/>
      <c r="B54" s="10"/>
      <c r="C54" s="119"/>
      <c r="D54" s="8"/>
      <c r="E54" s="35"/>
      <c r="F54" s="8"/>
      <c r="G54" s="32"/>
      <c r="H54" s="32"/>
    </row>
    <row r="55" spans="1:8" x14ac:dyDescent="0.25">
      <c r="A55" s="4" t="s">
        <v>208</v>
      </c>
      <c r="B55" s="10"/>
      <c r="C55" s="119"/>
      <c r="D55" s="8"/>
      <c r="E55" s="35"/>
      <c r="F55" s="8"/>
      <c r="G55" s="22"/>
      <c r="H55" s="8"/>
    </row>
    <row r="56" spans="1:8" x14ac:dyDescent="0.25">
      <c r="A56" s="7" t="s">
        <v>31</v>
      </c>
      <c r="B56" s="5">
        <v>1</v>
      </c>
      <c r="C56" s="119" t="s">
        <v>14</v>
      </c>
      <c r="D56" s="14">
        <v>6.87</v>
      </c>
      <c r="E56" s="34">
        <v>0</v>
      </c>
      <c r="F56" s="39">
        <f t="shared" ref="F56:F63" si="5">D56*B56</f>
        <v>6.87</v>
      </c>
      <c r="G56" s="39">
        <f t="shared" ref="G56:G64" si="6">F56*(1-E56)</f>
        <v>6.87</v>
      </c>
      <c r="H56" s="39">
        <f t="shared" ref="H56:H64" si="7">+F56*E56</f>
        <v>0</v>
      </c>
    </row>
    <row r="57" spans="1:8" x14ac:dyDescent="0.25">
      <c r="A57" s="7" t="s">
        <v>2</v>
      </c>
      <c r="B57" s="5">
        <v>1</v>
      </c>
      <c r="C57" s="119" t="s">
        <v>14</v>
      </c>
      <c r="D57" s="14">
        <v>7.12</v>
      </c>
      <c r="E57" s="34">
        <v>0</v>
      </c>
      <c r="F57" s="39">
        <f t="shared" si="5"/>
        <v>7.12</v>
      </c>
      <c r="G57" s="39">
        <f t="shared" si="6"/>
        <v>7.12</v>
      </c>
      <c r="H57" s="39">
        <f t="shared" si="7"/>
        <v>0</v>
      </c>
    </row>
    <row r="58" spans="1:8" x14ac:dyDescent="0.25">
      <c r="A58" s="7" t="s">
        <v>273</v>
      </c>
      <c r="B58" s="5">
        <v>1</v>
      </c>
      <c r="C58" s="119" t="s">
        <v>14</v>
      </c>
      <c r="D58" s="14">
        <v>33.5</v>
      </c>
      <c r="E58" s="34">
        <v>0</v>
      </c>
      <c r="F58" s="39">
        <f t="shared" si="5"/>
        <v>33.5</v>
      </c>
      <c r="G58" s="39">
        <f t="shared" si="6"/>
        <v>33.5</v>
      </c>
      <c r="H58" s="39">
        <f t="shared" si="7"/>
        <v>0</v>
      </c>
    </row>
    <row r="59" spans="1:8" x14ac:dyDescent="0.25">
      <c r="A59" s="7" t="s">
        <v>204</v>
      </c>
      <c r="B59" s="5">
        <v>1</v>
      </c>
      <c r="C59" s="119" t="s">
        <v>14</v>
      </c>
      <c r="D59" s="14">
        <v>0</v>
      </c>
      <c r="E59" s="34">
        <v>1</v>
      </c>
      <c r="F59" s="39">
        <f t="shared" si="5"/>
        <v>0</v>
      </c>
      <c r="G59" s="39">
        <f t="shared" si="6"/>
        <v>0</v>
      </c>
      <c r="H59" s="39">
        <f t="shared" si="7"/>
        <v>0</v>
      </c>
    </row>
    <row r="60" spans="1:8" x14ac:dyDescent="0.25">
      <c r="A60" s="7" t="s">
        <v>33</v>
      </c>
      <c r="B60" s="5">
        <v>1</v>
      </c>
      <c r="C60" s="119" t="s">
        <v>14</v>
      </c>
      <c r="D60" s="87">
        <v>6.23</v>
      </c>
      <c r="E60" s="34">
        <v>0</v>
      </c>
      <c r="F60" s="39">
        <f t="shared" si="5"/>
        <v>6.23</v>
      </c>
      <c r="G60" s="39">
        <f t="shared" si="6"/>
        <v>6.23</v>
      </c>
      <c r="H60" s="39">
        <f t="shared" si="7"/>
        <v>0</v>
      </c>
    </row>
    <row r="61" spans="1:8" x14ac:dyDescent="0.25">
      <c r="A61" s="7" t="s">
        <v>35</v>
      </c>
      <c r="B61" s="5">
        <v>1</v>
      </c>
      <c r="C61" s="119" t="s">
        <v>14</v>
      </c>
      <c r="D61" s="14">
        <v>0</v>
      </c>
      <c r="E61" s="34">
        <v>0</v>
      </c>
      <c r="F61" s="39">
        <f>D61*B61</f>
        <v>0</v>
      </c>
      <c r="G61" s="39">
        <f t="shared" si="6"/>
        <v>0</v>
      </c>
      <c r="H61" s="39">
        <f t="shared" si="7"/>
        <v>0</v>
      </c>
    </row>
    <row r="62" spans="1:8" x14ac:dyDescent="0.25">
      <c r="A62" s="7" t="s">
        <v>272</v>
      </c>
      <c r="B62" s="5">
        <v>1</v>
      </c>
      <c r="C62" s="119" t="s">
        <v>14</v>
      </c>
      <c r="D62" s="14">
        <v>26.57</v>
      </c>
      <c r="E62" s="34">
        <v>0</v>
      </c>
      <c r="F62" s="39">
        <f>D62*B62</f>
        <v>26.57</v>
      </c>
      <c r="G62" s="39">
        <f t="shared" si="6"/>
        <v>26.57</v>
      </c>
      <c r="H62" s="39">
        <f t="shared" si="7"/>
        <v>0</v>
      </c>
    </row>
    <row r="63" spans="1:8" x14ac:dyDescent="0.25">
      <c r="A63" s="7" t="s">
        <v>36</v>
      </c>
      <c r="B63" s="43">
        <v>1</v>
      </c>
      <c r="C63" s="119" t="s">
        <v>14</v>
      </c>
      <c r="D63" s="14">
        <v>72</v>
      </c>
      <c r="E63" s="34">
        <v>1</v>
      </c>
      <c r="F63" s="39">
        <f t="shared" si="5"/>
        <v>72</v>
      </c>
      <c r="G63" s="39">
        <f>IF($H$6="Cash",D63,F63*(1-E63))</f>
        <v>0</v>
      </c>
      <c r="H63" s="39">
        <f>IF($H$6="Cash",0,F63*E63)</f>
        <v>72</v>
      </c>
    </row>
    <row r="64" spans="1:8" x14ac:dyDescent="0.25">
      <c r="A64" s="7" t="s">
        <v>42</v>
      </c>
      <c r="B64" s="43">
        <v>1</v>
      </c>
      <c r="C64" s="119" t="s">
        <v>14</v>
      </c>
      <c r="D64" s="14">
        <v>0</v>
      </c>
      <c r="E64" s="34">
        <v>1</v>
      </c>
      <c r="F64" s="39">
        <f>B64*D64</f>
        <v>0</v>
      </c>
      <c r="G64" s="39">
        <f t="shared" si="6"/>
        <v>0</v>
      </c>
      <c r="H64" s="39">
        <f t="shared" si="7"/>
        <v>0</v>
      </c>
    </row>
    <row r="65" spans="1:9" x14ac:dyDescent="0.25">
      <c r="A65" s="4" t="s">
        <v>37</v>
      </c>
      <c r="B65" s="5"/>
      <c r="C65" s="119"/>
      <c r="D65" s="10"/>
      <c r="E65" s="10"/>
      <c r="F65" s="39">
        <f>SUM(F56:F64)</f>
        <v>152.29</v>
      </c>
      <c r="G65" s="39">
        <f>SUM(G56:G64)</f>
        <v>80.289999999999992</v>
      </c>
      <c r="H65" s="39">
        <f>SUM(H56:H64)</f>
        <v>72</v>
      </c>
    </row>
    <row r="66" spans="1:9" x14ac:dyDescent="0.25">
      <c r="A66" s="4" t="s">
        <v>38</v>
      </c>
      <c r="B66" s="5"/>
      <c r="C66" s="119"/>
      <c r="D66" s="10"/>
      <c r="E66" s="10"/>
      <c r="F66" s="39">
        <f>F52+F65</f>
        <v>799.33531034463022</v>
      </c>
      <c r="G66" s="39">
        <f>G52+G65</f>
        <v>608.34598326777211</v>
      </c>
      <c r="H66" s="39">
        <f>H52+H65</f>
        <v>190.13391661914639</v>
      </c>
    </row>
    <row r="67" spans="1:9" ht="13.8" x14ac:dyDescent="0.25">
      <c r="A67" s="71" t="s">
        <v>39</v>
      </c>
      <c r="B67" s="71"/>
      <c r="C67" s="268"/>
      <c r="D67" s="71"/>
      <c r="E67" s="71"/>
      <c r="F67" s="72">
        <f>F13-F66</f>
        <v>200.66468965536978</v>
      </c>
      <c r="G67" s="72">
        <f>G13-G66</f>
        <v>61.654016732227774</v>
      </c>
      <c r="H67" s="72">
        <f>H13-H66</f>
        <v>139.86608338085361</v>
      </c>
    </row>
    <row r="68" spans="1:9" x14ac:dyDescent="0.25">
      <c r="A68" s="4"/>
      <c r="B68" s="5"/>
      <c r="C68" s="119"/>
      <c r="D68" s="10"/>
      <c r="E68" s="10"/>
      <c r="F68" s="8"/>
      <c r="G68" s="8"/>
      <c r="H68" s="8"/>
    </row>
    <row r="69" spans="1:9" ht="13.8" x14ac:dyDescent="0.25">
      <c r="A69" s="113" t="s">
        <v>161</v>
      </c>
      <c r="B69" s="113"/>
      <c r="C69" s="266"/>
      <c r="D69" s="113"/>
      <c r="E69" s="114"/>
      <c r="F69" s="115">
        <f>(F67/F66)</f>
        <v>0.25103944121879718</v>
      </c>
      <c r="G69" s="115">
        <f t="shared" ref="G69:H69" si="8">(G67/G66)</f>
        <v>0.10134696115037861</v>
      </c>
      <c r="H69" s="115">
        <f t="shared" si="8"/>
        <v>0.73561879893852233</v>
      </c>
    </row>
    <row r="70" spans="1:9" x14ac:dyDescent="0.25">
      <c r="B70" s="1"/>
      <c r="C70" s="1"/>
      <c r="D70" s="46"/>
      <c r="E70" s="46"/>
      <c r="F70" s="17"/>
      <c r="G70" s="4"/>
      <c r="H70" s="4"/>
    </row>
    <row r="71" spans="1:9" x14ac:dyDescent="0.25">
      <c r="G71" s="17"/>
      <c r="H71" s="17"/>
    </row>
    <row r="72" spans="1:9" x14ac:dyDescent="0.25">
      <c r="I72"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20:A22">
      <formula1>Fert_Names</formula1>
    </dataValidation>
  </dataValidations>
  <printOptions horizontalCentered="1"/>
  <pageMargins left="0.25" right="0.25" top="0.75" bottom="0.75" header="0.3" footer="0.3"/>
  <pageSetup scale="75" orientation="portrait" r:id="rId1"/>
  <headerFooter alignWithMargins="0">
    <oddFooter>&amp;C&amp;8Texas AgriLife Extension Service provides this software for educational use, solely on an “AS IS” basis and  assumes no liability for its use.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80"/>
  <sheetViews>
    <sheetView showGridLines="0" showRowColHeaders="0" zoomScale="90" zoomScaleNormal="90" workbookViewId="0">
      <pane ySplit="7" topLeftCell="A43" activePane="bottomLeft" state="frozen"/>
      <selection activeCell="B9" sqref="B9"/>
      <selection pane="bottomLeft" activeCell="B9" sqref="B9"/>
    </sheetView>
  </sheetViews>
  <sheetFormatPr defaultRowHeight="13.2" x14ac:dyDescent="0.25"/>
  <cols>
    <col min="1" max="1" width="35.5546875" customWidth="1"/>
    <col min="2" max="8" width="10.5546875" customWidth="1"/>
    <col min="19" max="19" width="11.5546875" customWidth="1"/>
    <col min="20" max="20" width="12.109375" customWidth="1"/>
  </cols>
  <sheetData>
    <row r="1" spans="1:20" ht="32.25" customHeight="1" x14ac:dyDescent="0.25">
      <c r="A1" s="77"/>
      <c r="B1" s="77"/>
      <c r="C1" s="77"/>
      <c r="D1" s="77"/>
      <c r="E1" s="77"/>
      <c r="F1" s="77"/>
      <c r="G1" s="77"/>
      <c r="K1" s="77"/>
      <c r="L1" s="77"/>
      <c r="M1" s="77"/>
      <c r="N1" s="77"/>
      <c r="O1" s="77"/>
      <c r="P1" s="77"/>
      <c r="Q1" s="77"/>
      <c r="R1" s="77"/>
    </row>
    <row r="2" spans="1:20" ht="17.399999999999999" x14ac:dyDescent="0.3">
      <c r="A2" s="318" t="s">
        <v>194</v>
      </c>
      <c r="B2" s="318"/>
      <c r="C2" s="318"/>
      <c r="D2" s="318"/>
      <c r="E2" s="318"/>
      <c r="F2" s="318"/>
      <c r="G2" s="318"/>
      <c r="H2" s="318"/>
      <c r="I2" s="4"/>
      <c r="J2" s="4"/>
      <c r="K2" s="4"/>
      <c r="L2" s="4"/>
      <c r="M2" s="4"/>
      <c r="N2" s="4"/>
    </row>
    <row r="3" spans="1:20" ht="15" x14ac:dyDescent="0.25">
      <c r="A3" s="319" t="s">
        <v>164</v>
      </c>
      <c r="B3" s="319"/>
      <c r="C3" s="319"/>
      <c r="D3" s="319"/>
      <c r="E3" s="319"/>
      <c r="F3" s="319"/>
      <c r="G3" s="319"/>
      <c r="H3" s="319"/>
    </row>
    <row r="4" spans="1:20" ht="15" x14ac:dyDescent="0.25">
      <c r="A4" s="319" t="s">
        <v>269</v>
      </c>
      <c r="B4" s="319"/>
      <c r="C4" s="319"/>
      <c r="D4" s="319"/>
      <c r="E4" s="319"/>
      <c r="F4" s="319"/>
      <c r="G4" s="319"/>
      <c r="H4" s="319"/>
    </row>
    <row r="5" spans="1:20" ht="13.8" x14ac:dyDescent="0.25">
      <c r="A5" s="4"/>
      <c r="B5" s="40"/>
      <c r="C5" s="40"/>
      <c r="D5" s="40"/>
      <c r="E5" s="40"/>
      <c r="G5" s="245"/>
      <c r="H5" s="242" t="s">
        <v>102</v>
      </c>
      <c r="I5" s="69" t="s">
        <v>55</v>
      </c>
      <c r="J5" s="69"/>
      <c r="K5" s="69"/>
    </row>
    <row r="6" spans="1:20" ht="13.8" x14ac:dyDescent="0.25">
      <c r="A6" s="4" t="s">
        <v>3</v>
      </c>
      <c r="B6" s="53" t="s">
        <v>4</v>
      </c>
      <c r="C6" s="53" t="s">
        <v>5</v>
      </c>
      <c r="D6" s="53" t="s">
        <v>6</v>
      </c>
      <c r="E6" s="53" t="s">
        <v>53</v>
      </c>
      <c r="F6" s="244" t="s">
        <v>151</v>
      </c>
      <c r="G6" s="244"/>
      <c r="H6" s="112" t="s">
        <v>55</v>
      </c>
      <c r="I6" s="70" t="s">
        <v>103</v>
      </c>
      <c r="J6" s="70"/>
      <c r="K6" s="70"/>
    </row>
    <row r="7" spans="1:20" x14ac:dyDescent="0.25">
      <c r="A7" s="4"/>
      <c r="B7" s="5"/>
      <c r="C7" s="5"/>
      <c r="D7" s="5"/>
      <c r="E7" s="53" t="s">
        <v>55</v>
      </c>
      <c r="F7" s="53" t="s">
        <v>56</v>
      </c>
      <c r="G7" s="53" t="s">
        <v>52</v>
      </c>
      <c r="H7" s="53" t="s">
        <v>53</v>
      </c>
      <c r="I7" s="86"/>
      <c r="J7" s="86"/>
      <c r="K7" s="86"/>
      <c r="L7" s="86"/>
      <c r="M7" s="86"/>
      <c r="N7" s="86"/>
      <c r="O7" s="86"/>
      <c r="R7" s="85"/>
    </row>
    <row r="8" spans="1:20" x14ac:dyDescent="0.25">
      <c r="A8" s="4" t="s">
        <v>7</v>
      </c>
      <c r="B8" s="5"/>
      <c r="C8" s="119"/>
      <c r="D8" s="5"/>
      <c r="E8" s="5"/>
      <c r="F8" s="5"/>
      <c r="G8" s="5"/>
      <c r="H8" s="5"/>
      <c r="I8" s="4"/>
      <c r="J8" s="290"/>
      <c r="K8" s="290"/>
      <c r="L8" s="4"/>
      <c r="M8" s="4"/>
      <c r="N8" s="4"/>
      <c r="O8" s="4"/>
      <c r="P8" s="4"/>
      <c r="Q8" s="4"/>
      <c r="R8" s="4"/>
      <c r="S8" s="4"/>
      <c r="T8" s="4"/>
    </row>
    <row r="9" spans="1:20" x14ac:dyDescent="0.25">
      <c r="A9" s="7" t="s">
        <v>86</v>
      </c>
      <c r="B9" s="47">
        <v>2.25</v>
      </c>
      <c r="C9" s="119" t="s">
        <v>51</v>
      </c>
      <c r="D9" s="55">
        <f>'Universal Input Prices'!$B$10</f>
        <v>420</v>
      </c>
      <c r="E9" s="34">
        <v>0.33</v>
      </c>
      <c r="F9" s="39">
        <f>D9*B9</f>
        <v>945</v>
      </c>
      <c r="G9" s="39">
        <f>F9*(1-E9)</f>
        <v>633.15</v>
      </c>
      <c r="H9" s="39">
        <f>IF(H6="Cash", D62,F9*E9)</f>
        <v>311.85000000000002</v>
      </c>
      <c r="I9" s="4"/>
      <c r="J9" s="42"/>
      <c r="K9" s="42"/>
      <c r="L9" s="4"/>
      <c r="M9" s="42"/>
      <c r="N9" s="42"/>
      <c r="O9" s="4"/>
      <c r="P9" s="42"/>
      <c r="Q9" s="42"/>
      <c r="R9" s="4"/>
      <c r="S9" s="42"/>
      <c r="T9" s="42"/>
    </row>
    <row r="10" spans="1:20" x14ac:dyDescent="0.25">
      <c r="A10" s="7" t="s">
        <v>263</v>
      </c>
      <c r="B10" s="47">
        <v>0</v>
      </c>
      <c r="C10" s="119" t="s">
        <v>264</v>
      </c>
      <c r="D10" s="55">
        <v>1</v>
      </c>
      <c r="E10" s="34">
        <v>0.33</v>
      </c>
      <c r="F10" s="39">
        <f>D10*B10</f>
        <v>0</v>
      </c>
      <c r="G10" s="39">
        <f>F10*(1-E10)</f>
        <v>0</v>
      </c>
      <c r="H10" s="39">
        <f>IF(H7="Cash", D59,F10*E10)</f>
        <v>0</v>
      </c>
      <c r="I10" s="4"/>
    </row>
    <row r="11" spans="1:20" x14ac:dyDescent="0.25">
      <c r="A11" s="9"/>
      <c r="B11" s="21"/>
      <c r="C11" s="264"/>
      <c r="D11" s="8"/>
      <c r="E11" s="36"/>
      <c r="F11" s="39"/>
      <c r="G11" s="39"/>
      <c r="H11" s="39"/>
      <c r="I11" s="4"/>
      <c r="J11" s="4"/>
      <c r="K11" s="4"/>
      <c r="L11" s="4"/>
      <c r="M11" s="4"/>
      <c r="N11" s="4"/>
      <c r="O11" s="4"/>
      <c r="P11" s="4"/>
      <c r="Q11" s="4"/>
      <c r="R11" s="4"/>
      <c r="S11" s="4"/>
      <c r="T11" s="4"/>
    </row>
    <row r="12" spans="1:20" x14ac:dyDescent="0.25">
      <c r="A12" s="4" t="s">
        <v>12</v>
      </c>
      <c r="B12" s="5"/>
      <c r="C12" s="119"/>
      <c r="D12" s="8"/>
      <c r="E12" s="36"/>
      <c r="F12" s="39">
        <f>SUM(F8:F11)</f>
        <v>945</v>
      </c>
      <c r="G12" s="39">
        <f t="shared" ref="G12:H12" si="0">SUM(G8:G11)</f>
        <v>633.15</v>
      </c>
      <c r="H12" s="39">
        <f t="shared" si="0"/>
        <v>311.85000000000002</v>
      </c>
      <c r="I12" s="4"/>
      <c r="J12" s="4"/>
      <c r="K12" s="4"/>
      <c r="L12" s="4"/>
      <c r="M12" s="4"/>
      <c r="N12" s="4"/>
      <c r="O12" s="4"/>
      <c r="P12" s="4"/>
      <c r="Q12" s="4"/>
      <c r="R12" s="4"/>
      <c r="S12" s="4"/>
      <c r="T12" s="4"/>
    </row>
    <row r="13" spans="1:20" x14ac:dyDescent="0.25">
      <c r="A13" s="4"/>
      <c r="B13" s="5"/>
      <c r="C13" s="119"/>
      <c r="D13" s="8"/>
      <c r="E13" s="36"/>
      <c r="F13" s="39"/>
      <c r="G13" s="39"/>
      <c r="H13" s="39"/>
      <c r="I13" s="4"/>
      <c r="J13" s="4"/>
      <c r="K13" s="4"/>
      <c r="L13" s="4"/>
      <c r="M13" s="4"/>
      <c r="N13" s="4"/>
      <c r="O13" s="4"/>
      <c r="P13" s="4"/>
      <c r="Q13" s="4"/>
      <c r="R13" s="4"/>
      <c r="S13" s="4"/>
      <c r="T13" s="4"/>
    </row>
    <row r="14" spans="1:20" x14ac:dyDescent="0.25">
      <c r="A14" s="4" t="s">
        <v>207</v>
      </c>
      <c r="B14" s="5"/>
      <c r="C14" s="119"/>
      <c r="D14" s="8"/>
      <c r="E14" s="36"/>
      <c r="F14" s="39"/>
      <c r="G14" s="39"/>
      <c r="H14" s="39"/>
      <c r="I14" s="4"/>
      <c r="J14" s="4"/>
      <c r="K14" s="4"/>
      <c r="L14" s="4"/>
      <c r="M14" s="4"/>
      <c r="N14" s="4"/>
      <c r="O14" s="4"/>
      <c r="P14" s="4"/>
      <c r="Q14" s="4"/>
      <c r="R14" s="4"/>
      <c r="S14" s="4"/>
      <c r="T14" s="4"/>
    </row>
    <row r="15" spans="1:20" x14ac:dyDescent="0.25">
      <c r="A15" s="4" t="s">
        <v>1</v>
      </c>
      <c r="B15" s="5"/>
      <c r="C15" s="119"/>
      <c r="D15" s="8"/>
      <c r="E15" s="36"/>
      <c r="F15" s="39"/>
      <c r="G15" s="39"/>
      <c r="H15" s="39"/>
      <c r="I15" s="4"/>
      <c r="J15" s="4"/>
      <c r="K15" s="4"/>
      <c r="L15" s="4"/>
      <c r="M15" s="4"/>
      <c r="N15" s="4"/>
      <c r="O15" s="4"/>
      <c r="P15" s="4"/>
      <c r="Q15" s="4"/>
      <c r="R15" s="4"/>
      <c r="S15" s="4"/>
      <c r="T15" s="4"/>
    </row>
    <row r="16" spans="1:20" x14ac:dyDescent="0.25">
      <c r="A16" s="7" t="s">
        <v>106</v>
      </c>
      <c r="B16" s="28">
        <v>100</v>
      </c>
      <c r="C16" s="119" t="s">
        <v>79</v>
      </c>
      <c r="D16" s="14">
        <v>1</v>
      </c>
      <c r="E16" s="34">
        <v>0</v>
      </c>
      <c r="F16" s="39">
        <f>D16*B16</f>
        <v>100</v>
      </c>
      <c r="G16" s="39">
        <f>F16*(1-E16)</f>
        <v>100</v>
      </c>
      <c r="H16" s="39">
        <f>F16*E16</f>
        <v>0</v>
      </c>
      <c r="I16" s="4"/>
      <c r="J16" s="67"/>
      <c r="K16" s="67"/>
      <c r="L16" s="4"/>
      <c r="M16" s="67"/>
      <c r="N16" s="67"/>
      <c r="O16" s="4"/>
      <c r="P16" s="67"/>
      <c r="Q16" s="67"/>
      <c r="R16" s="4"/>
      <c r="S16" s="67"/>
      <c r="T16" s="67"/>
    </row>
    <row r="17" spans="1:20" x14ac:dyDescent="0.25">
      <c r="A17" s="7" t="s">
        <v>105</v>
      </c>
      <c r="B17" s="24">
        <v>1</v>
      </c>
      <c r="C17" s="119" t="s">
        <v>14</v>
      </c>
      <c r="D17" s="14">
        <v>7.3</v>
      </c>
      <c r="E17" s="34">
        <v>0</v>
      </c>
      <c r="F17" s="39">
        <f>D17*B17</f>
        <v>7.3</v>
      </c>
      <c r="G17" s="39">
        <f>F17*(1-E17)</f>
        <v>7.3</v>
      </c>
      <c r="H17" s="39">
        <f>F17*E17</f>
        <v>0</v>
      </c>
      <c r="I17" s="4"/>
      <c r="J17" s="4"/>
      <c r="K17" s="4"/>
      <c r="L17" s="4"/>
      <c r="M17" s="4"/>
      <c r="N17" s="4"/>
      <c r="O17" s="4"/>
      <c r="P17" s="4"/>
      <c r="Q17" s="4"/>
      <c r="R17" s="4"/>
      <c r="S17" s="4"/>
      <c r="T17" s="4"/>
    </row>
    <row r="18" spans="1:20" x14ac:dyDescent="0.25">
      <c r="A18" s="4" t="s">
        <v>0</v>
      </c>
      <c r="B18" s="26"/>
      <c r="C18" s="119"/>
      <c r="D18" s="15"/>
      <c r="E18" s="36"/>
      <c r="F18" s="39"/>
      <c r="G18" s="39"/>
      <c r="H18" s="39"/>
      <c r="I18" s="4"/>
      <c r="J18" s="4"/>
      <c r="K18" s="4"/>
      <c r="L18" s="4"/>
      <c r="M18" s="4"/>
      <c r="N18" s="4"/>
      <c r="O18" s="4"/>
      <c r="P18" s="4"/>
      <c r="Q18" s="4"/>
      <c r="R18" s="290"/>
      <c r="S18" s="4"/>
      <c r="T18" s="4"/>
    </row>
    <row r="19" spans="1:20" x14ac:dyDescent="0.25">
      <c r="A19" s="302" t="s">
        <v>133</v>
      </c>
      <c r="B19" s="24">
        <v>50</v>
      </c>
      <c r="C19" s="119" t="s">
        <v>79</v>
      </c>
      <c r="D19" s="54">
        <f>IF(A19="",0,VLOOKUP(A19,'Universal Input Prices'!$A$26:$B$30, 2))</f>
        <v>0.42980769230769234</v>
      </c>
      <c r="E19" s="34">
        <v>0.33</v>
      </c>
      <c r="F19" s="39">
        <f>D19*B19</f>
        <v>21.490384615384617</v>
      </c>
      <c r="G19" s="39">
        <f>F19*(1-E19)</f>
        <v>14.398557692307692</v>
      </c>
      <c r="H19" s="39">
        <f>F19*E19</f>
        <v>7.0918269230769235</v>
      </c>
      <c r="I19" s="4"/>
      <c r="J19" s="4"/>
      <c r="K19" s="308"/>
      <c r="L19" s="4"/>
      <c r="M19" s="4"/>
      <c r="N19" s="308"/>
      <c r="O19" s="4"/>
      <c r="P19" s="4"/>
      <c r="Q19" s="308"/>
      <c r="R19" s="290"/>
      <c r="S19" s="290"/>
      <c r="T19" s="4"/>
    </row>
    <row r="20" spans="1:20" x14ac:dyDescent="0.25">
      <c r="A20" s="302" t="s">
        <v>134</v>
      </c>
      <c r="B20" s="312">
        <v>79.900000000000006</v>
      </c>
      <c r="C20" s="119" t="s">
        <v>79</v>
      </c>
      <c r="D20" s="54">
        <f>IF(A20="",0,VLOOKUP(A20,'Universal Input Prices'!$A$26:$B$27, 2))</f>
        <v>0.33043478260869563</v>
      </c>
      <c r="E20" s="34">
        <v>0.33</v>
      </c>
      <c r="F20" s="39">
        <f>D20*B20</f>
        <v>26.401739130434784</v>
      </c>
      <c r="G20" s="39">
        <f>F20*(1-E20)</f>
        <v>17.689165217391302</v>
      </c>
      <c r="H20" s="39">
        <f>F20*E20</f>
        <v>8.7125739130434798</v>
      </c>
      <c r="I20" s="4"/>
      <c r="J20" s="4"/>
      <c r="K20" s="308"/>
      <c r="L20" s="4"/>
      <c r="M20" s="4"/>
      <c r="N20" s="308"/>
      <c r="O20" s="4"/>
      <c r="P20" s="4"/>
      <c r="Q20" s="308"/>
      <c r="R20" s="4"/>
      <c r="S20" s="15"/>
      <c r="T20" s="15"/>
    </row>
    <row r="21" spans="1:20" x14ac:dyDescent="0.25">
      <c r="A21" s="302"/>
      <c r="B21" s="24">
        <v>0</v>
      </c>
      <c r="C21" s="119" t="s">
        <v>79</v>
      </c>
      <c r="D21" s="54">
        <f>IF(A21="",0,VLOOKUP(A21,'Universal Input Prices'!$A$26:$B$30, 2))</f>
        <v>0</v>
      </c>
      <c r="E21" s="34">
        <v>0</v>
      </c>
      <c r="F21" s="39">
        <f>D21*B21</f>
        <v>0</v>
      </c>
      <c r="G21" s="39">
        <f>F21*(1-E21)</f>
        <v>0</v>
      </c>
      <c r="H21" s="39">
        <f>F21*E21</f>
        <v>0</v>
      </c>
      <c r="I21" s="4"/>
      <c r="J21" s="4"/>
      <c r="K21" s="4"/>
      <c r="L21" s="4"/>
      <c r="M21" s="4"/>
      <c r="N21" s="4"/>
      <c r="O21" s="4"/>
      <c r="P21" s="4"/>
      <c r="Q21" s="4"/>
      <c r="R21" s="4"/>
      <c r="S21" s="4"/>
      <c r="T21" s="4"/>
    </row>
    <row r="22" spans="1:20" x14ac:dyDescent="0.25">
      <c r="A22" s="4" t="s">
        <v>15</v>
      </c>
      <c r="B22" s="27"/>
      <c r="C22" s="119"/>
      <c r="D22" s="8"/>
      <c r="E22" s="36"/>
      <c r="F22" s="39"/>
      <c r="G22" s="39"/>
      <c r="H22" s="39"/>
      <c r="I22" s="4"/>
      <c r="J22" s="4"/>
      <c r="K22" s="4"/>
      <c r="L22" s="4"/>
      <c r="M22" s="4"/>
      <c r="N22" s="4"/>
      <c r="O22" s="4"/>
      <c r="P22" s="4"/>
      <c r="Q22" s="4"/>
      <c r="R22" s="4"/>
      <c r="S22" s="4"/>
      <c r="T22" s="4"/>
    </row>
    <row r="23" spans="1:20" x14ac:dyDescent="0.25">
      <c r="A23" s="2" t="s">
        <v>236</v>
      </c>
      <c r="B23" s="24">
        <v>1</v>
      </c>
      <c r="C23" s="119" t="s">
        <v>14</v>
      </c>
      <c r="D23" s="14">
        <v>17.45</v>
      </c>
      <c r="E23" s="34">
        <v>0.33</v>
      </c>
      <c r="F23" s="39">
        <f t="shared" ref="F23:F40" si="1">D23*B23</f>
        <v>17.45</v>
      </c>
      <c r="G23" s="39">
        <f t="shared" ref="G23:G48" si="2">F23*(1-E23)</f>
        <v>11.691499999999998</v>
      </c>
      <c r="H23" s="39">
        <f t="shared" ref="H23:H48" si="3">F23*E23</f>
        <v>5.7584999999999997</v>
      </c>
      <c r="I23" s="4"/>
      <c r="J23" s="4"/>
      <c r="K23" s="308"/>
      <c r="L23" s="4"/>
      <c r="M23" s="4"/>
      <c r="N23" s="308"/>
      <c r="O23" s="4"/>
      <c r="P23" s="4"/>
      <c r="Q23" s="308"/>
      <c r="R23" s="4"/>
      <c r="S23" s="15"/>
      <c r="T23" s="308"/>
    </row>
    <row r="24" spans="1:20" x14ac:dyDescent="0.25">
      <c r="A24" s="7" t="s">
        <v>43</v>
      </c>
      <c r="B24" s="24">
        <v>1</v>
      </c>
      <c r="C24" s="119" t="s">
        <v>14</v>
      </c>
      <c r="D24" s="14">
        <v>5</v>
      </c>
      <c r="E24" s="34">
        <v>0.33</v>
      </c>
      <c r="F24" s="39">
        <f t="shared" si="1"/>
        <v>5</v>
      </c>
      <c r="G24" s="39">
        <f t="shared" si="2"/>
        <v>3.3499999999999996</v>
      </c>
      <c r="H24" s="39">
        <f t="shared" si="3"/>
        <v>1.6500000000000001</v>
      </c>
      <c r="I24" s="4"/>
      <c r="J24" s="4"/>
      <c r="K24" s="308"/>
      <c r="L24" s="4"/>
      <c r="M24" s="4"/>
      <c r="N24" s="308"/>
      <c r="O24" s="4"/>
      <c r="P24" s="4"/>
      <c r="Q24" s="308"/>
      <c r="R24" s="4"/>
      <c r="S24" s="15"/>
      <c r="T24" s="308"/>
    </row>
    <row r="25" spans="1:20" x14ac:dyDescent="0.25">
      <c r="A25" s="2" t="s">
        <v>240</v>
      </c>
      <c r="B25" s="24">
        <v>3</v>
      </c>
      <c r="C25" s="119" t="s">
        <v>141</v>
      </c>
      <c r="D25" s="14">
        <v>15.85</v>
      </c>
      <c r="E25" s="34">
        <v>0.33</v>
      </c>
      <c r="F25" s="39">
        <f t="shared" si="1"/>
        <v>47.55</v>
      </c>
      <c r="G25" s="39">
        <f t="shared" si="2"/>
        <v>31.858499999999996</v>
      </c>
      <c r="H25" s="39">
        <f t="shared" si="3"/>
        <v>15.6915</v>
      </c>
      <c r="I25" s="4"/>
      <c r="J25" s="15"/>
      <c r="K25" s="15"/>
      <c r="L25" s="15"/>
      <c r="M25" s="15"/>
      <c r="N25" s="15"/>
      <c r="O25" s="15"/>
      <c r="P25" s="15"/>
      <c r="Q25" s="15"/>
      <c r="R25" s="4"/>
      <c r="S25" s="181"/>
      <c r="T25" s="308"/>
    </row>
    <row r="26" spans="1:20" x14ac:dyDescent="0.25">
      <c r="A26" s="7" t="s">
        <v>58</v>
      </c>
      <c r="B26" s="24">
        <v>1</v>
      </c>
      <c r="C26" s="119" t="s">
        <v>14</v>
      </c>
      <c r="D26" s="14">
        <v>25</v>
      </c>
      <c r="E26" s="34">
        <v>0.33</v>
      </c>
      <c r="F26" s="39">
        <f t="shared" si="1"/>
        <v>25</v>
      </c>
      <c r="G26" s="39">
        <f t="shared" si="2"/>
        <v>16.75</v>
      </c>
      <c r="H26" s="39">
        <f t="shared" si="3"/>
        <v>8.25</v>
      </c>
      <c r="I26" s="4"/>
      <c r="J26" s="4"/>
      <c r="K26" s="308"/>
      <c r="L26" s="4"/>
      <c r="M26" s="4"/>
      <c r="N26" s="308"/>
      <c r="O26" s="4"/>
      <c r="P26" s="4"/>
      <c r="Q26" s="308"/>
      <c r="R26" s="4"/>
      <c r="S26" s="4"/>
      <c r="T26" s="308"/>
    </row>
    <row r="27" spans="1:20" x14ac:dyDescent="0.25">
      <c r="A27" s="7" t="s">
        <v>47</v>
      </c>
      <c r="B27" s="48">
        <f>$B$9</f>
        <v>2.25</v>
      </c>
      <c r="C27" s="119" t="s">
        <v>51</v>
      </c>
      <c r="D27" s="14">
        <v>40</v>
      </c>
      <c r="E27" s="34">
        <v>0</v>
      </c>
      <c r="F27" s="39">
        <f t="shared" si="1"/>
        <v>90</v>
      </c>
      <c r="G27" s="39">
        <f t="shared" si="2"/>
        <v>90</v>
      </c>
      <c r="H27" s="39">
        <f t="shared" si="3"/>
        <v>0</v>
      </c>
      <c r="I27" s="4"/>
      <c r="J27" s="4"/>
      <c r="K27" s="308"/>
      <c r="L27" s="4"/>
      <c r="M27" s="4"/>
      <c r="N27" s="308"/>
      <c r="O27" s="4"/>
      <c r="P27" s="4"/>
      <c r="Q27" s="308"/>
      <c r="R27" s="4"/>
      <c r="S27" s="4"/>
      <c r="T27" s="308"/>
    </row>
    <row r="28" spans="1:20" x14ac:dyDescent="0.25">
      <c r="A28" s="61" t="s">
        <v>59</v>
      </c>
      <c r="B28" s="48">
        <f>$B$9</f>
        <v>2.25</v>
      </c>
      <c r="C28" s="119" t="s">
        <v>51</v>
      </c>
      <c r="D28" s="14">
        <v>25</v>
      </c>
      <c r="E28" s="34">
        <v>0</v>
      </c>
      <c r="F28" s="39">
        <f t="shared" si="1"/>
        <v>56.25</v>
      </c>
      <c r="G28" s="39">
        <f t="shared" si="2"/>
        <v>56.25</v>
      </c>
      <c r="H28" s="39">
        <f t="shared" si="3"/>
        <v>0</v>
      </c>
      <c r="I28" s="4"/>
      <c r="J28" s="4"/>
      <c r="K28" s="308"/>
      <c r="L28" s="4"/>
      <c r="M28" s="4"/>
      <c r="N28" s="308"/>
      <c r="O28" s="4"/>
      <c r="P28" s="4"/>
      <c r="Q28" s="308"/>
      <c r="R28" s="4"/>
      <c r="S28" s="4"/>
      <c r="T28" s="308"/>
    </row>
    <row r="29" spans="1:20" x14ac:dyDescent="0.25">
      <c r="A29" s="2" t="s">
        <v>237</v>
      </c>
      <c r="B29" s="24">
        <v>1</v>
      </c>
      <c r="C29" s="119" t="s">
        <v>141</v>
      </c>
      <c r="D29" s="14">
        <v>9.6</v>
      </c>
      <c r="E29" s="34">
        <v>0.33</v>
      </c>
      <c r="F29" s="39">
        <f t="shared" si="1"/>
        <v>9.6</v>
      </c>
      <c r="G29" s="39">
        <f t="shared" si="2"/>
        <v>6.4319999999999995</v>
      </c>
      <c r="H29" s="39">
        <f t="shared" si="3"/>
        <v>3.1680000000000001</v>
      </c>
      <c r="I29" s="4"/>
      <c r="J29" s="4"/>
      <c r="K29" s="308"/>
      <c r="L29" s="4"/>
      <c r="M29" s="15"/>
      <c r="N29" s="308"/>
      <c r="O29" s="15"/>
      <c r="P29" s="15"/>
      <c r="Q29" s="308"/>
      <c r="R29" s="4"/>
      <c r="S29" s="181"/>
      <c r="T29" s="308"/>
    </row>
    <row r="30" spans="1:20" x14ac:dyDescent="0.25">
      <c r="A30" s="61" t="s">
        <v>20</v>
      </c>
      <c r="B30" s="24">
        <v>1</v>
      </c>
      <c r="C30" s="119" t="s">
        <v>14</v>
      </c>
      <c r="D30" s="14">
        <v>19</v>
      </c>
      <c r="E30" s="34">
        <v>0</v>
      </c>
      <c r="F30" s="39">
        <f t="shared" si="1"/>
        <v>19</v>
      </c>
      <c r="G30" s="39">
        <f t="shared" si="2"/>
        <v>19</v>
      </c>
      <c r="H30" s="39">
        <f t="shared" si="3"/>
        <v>0</v>
      </c>
      <c r="I30" s="4"/>
      <c r="J30" s="4"/>
      <c r="K30" s="308"/>
      <c r="L30" s="4"/>
      <c r="M30" s="4"/>
      <c r="N30" s="308"/>
      <c r="O30" s="4"/>
      <c r="P30" s="4"/>
      <c r="Q30" s="308"/>
      <c r="R30" s="4"/>
      <c r="S30" s="181"/>
      <c r="T30" s="308"/>
    </row>
    <row r="31" spans="1:20" x14ac:dyDescent="0.25">
      <c r="A31" s="2" t="s">
        <v>21</v>
      </c>
      <c r="B31" s="24">
        <v>1</v>
      </c>
      <c r="C31" s="119" t="s">
        <v>14</v>
      </c>
      <c r="D31" s="14">
        <v>0</v>
      </c>
      <c r="E31" s="34">
        <v>0</v>
      </c>
      <c r="F31" s="39">
        <f t="shared" si="1"/>
        <v>0</v>
      </c>
      <c r="G31" s="39">
        <f t="shared" si="2"/>
        <v>0</v>
      </c>
      <c r="H31" s="39">
        <f t="shared" si="3"/>
        <v>0</v>
      </c>
      <c r="I31" s="4"/>
      <c r="J31" s="4"/>
      <c r="K31" s="308"/>
      <c r="L31" s="4"/>
      <c r="M31" s="4"/>
      <c r="N31" s="308"/>
      <c r="O31" s="4"/>
      <c r="P31" s="4"/>
      <c r="Q31" s="308"/>
      <c r="R31" s="4"/>
      <c r="S31" s="181"/>
      <c r="T31" s="308"/>
    </row>
    <row r="32" spans="1:20" x14ac:dyDescent="0.25">
      <c r="A32" s="16" t="s">
        <v>40</v>
      </c>
      <c r="B32" s="24">
        <v>1</v>
      </c>
      <c r="C32" s="265" t="s">
        <v>14</v>
      </c>
      <c r="D32" s="14">
        <v>0</v>
      </c>
      <c r="E32" s="34">
        <v>0</v>
      </c>
      <c r="F32" s="39">
        <f t="shared" si="1"/>
        <v>0</v>
      </c>
      <c r="G32" s="39">
        <f t="shared" si="2"/>
        <v>0</v>
      </c>
      <c r="H32" s="39">
        <f>+F32*E32</f>
        <v>0</v>
      </c>
      <c r="I32" s="4"/>
      <c r="J32" s="4"/>
      <c r="K32" s="308"/>
      <c r="L32" s="4"/>
      <c r="M32" s="4"/>
      <c r="N32" s="308"/>
      <c r="O32" s="4"/>
      <c r="P32" s="4"/>
      <c r="Q32" s="308"/>
      <c r="R32" s="4"/>
      <c r="S32" s="4"/>
      <c r="T32" s="308"/>
    </row>
    <row r="33" spans="1:20" x14ac:dyDescent="0.25">
      <c r="A33" s="16" t="s">
        <v>40</v>
      </c>
      <c r="B33" s="24">
        <v>1</v>
      </c>
      <c r="C33" s="265" t="s">
        <v>14</v>
      </c>
      <c r="D33" s="14">
        <v>0</v>
      </c>
      <c r="E33" s="34">
        <v>0</v>
      </c>
      <c r="F33" s="39">
        <f t="shared" si="1"/>
        <v>0</v>
      </c>
      <c r="G33" s="39">
        <f t="shared" si="2"/>
        <v>0</v>
      </c>
      <c r="H33" s="39">
        <f>+F33*E33</f>
        <v>0</v>
      </c>
      <c r="I33" s="4"/>
      <c r="J33" s="4"/>
      <c r="K33" s="308"/>
      <c r="L33" s="4"/>
      <c r="M33" s="4"/>
      <c r="N33" s="308"/>
      <c r="O33" s="4"/>
      <c r="P33" s="4"/>
      <c r="Q33" s="308"/>
      <c r="R33" s="4"/>
      <c r="S33" s="4"/>
      <c r="T33" s="308"/>
    </row>
    <row r="34" spans="1:20" x14ac:dyDescent="0.25">
      <c r="A34" s="16" t="s">
        <v>40</v>
      </c>
      <c r="B34" s="24">
        <v>1</v>
      </c>
      <c r="C34" s="265" t="s">
        <v>14</v>
      </c>
      <c r="D34" s="14">
        <v>0</v>
      </c>
      <c r="E34" s="34">
        <v>0</v>
      </c>
      <c r="F34" s="39">
        <f t="shared" si="1"/>
        <v>0</v>
      </c>
      <c r="G34" s="39">
        <f t="shared" si="2"/>
        <v>0</v>
      </c>
      <c r="H34" s="39">
        <f>+F34*E34</f>
        <v>0</v>
      </c>
      <c r="I34" s="4"/>
      <c r="J34" s="4"/>
      <c r="K34" s="308"/>
      <c r="L34" s="4"/>
      <c r="M34" s="4"/>
      <c r="N34" s="308"/>
      <c r="O34" s="4"/>
      <c r="P34" s="4"/>
      <c r="Q34" s="308"/>
      <c r="R34" s="4"/>
      <c r="S34" s="4"/>
      <c r="T34" s="308"/>
    </row>
    <row r="35" spans="1:20" x14ac:dyDescent="0.25">
      <c r="A35" s="4" t="s">
        <v>22</v>
      </c>
      <c r="B35" s="24">
        <v>1</v>
      </c>
      <c r="C35" s="119" t="s">
        <v>14</v>
      </c>
      <c r="D35" s="14">
        <v>40</v>
      </c>
      <c r="E35" s="34">
        <v>0.33</v>
      </c>
      <c r="F35" s="39">
        <f t="shared" si="1"/>
        <v>40</v>
      </c>
      <c r="G35" s="39">
        <f t="shared" si="2"/>
        <v>26.799999999999997</v>
      </c>
      <c r="H35" s="39">
        <f t="shared" si="3"/>
        <v>13.200000000000001</v>
      </c>
      <c r="I35" s="4"/>
      <c r="J35" s="4"/>
      <c r="K35" s="308"/>
      <c r="L35" s="4"/>
      <c r="M35" s="4"/>
      <c r="N35" s="308"/>
      <c r="O35" s="4"/>
      <c r="P35" s="4"/>
      <c r="Q35" s="308"/>
      <c r="R35" s="4"/>
      <c r="S35" s="4"/>
      <c r="T35" s="308"/>
    </row>
    <row r="36" spans="1:20" x14ac:dyDescent="0.25">
      <c r="A36" s="4" t="s">
        <v>140</v>
      </c>
      <c r="B36" s="28">
        <v>2.5950000000000002</v>
      </c>
      <c r="C36" s="119" t="s">
        <v>48</v>
      </c>
      <c r="D36" s="55">
        <f>'Universal Input Prices'!$B$31</f>
        <v>12.45</v>
      </c>
      <c r="E36" s="34">
        <v>0</v>
      </c>
      <c r="F36" s="39">
        <f t="shared" si="1"/>
        <v>32.307749999999999</v>
      </c>
      <c r="G36" s="39">
        <f t="shared" si="2"/>
        <v>32.307749999999999</v>
      </c>
      <c r="H36" s="39">
        <f t="shared" si="3"/>
        <v>0</v>
      </c>
      <c r="I36" s="4"/>
      <c r="J36" s="4"/>
      <c r="K36" s="308"/>
      <c r="L36" s="4"/>
      <c r="M36" s="4"/>
      <c r="N36" s="308"/>
      <c r="O36" s="4"/>
      <c r="P36" s="4"/>
      <c r="Q36" s="308"/>
      <c r="R36" s="4"/>
      <c r="S36" s="181"/>
      <c r="T36" s="308"/>
    </row>
    <row r="37" spans="1:20" x14ac:dyDescent="0.25">
      <c r="A37" s="4" t="s">
        <v>24</v>
      </c>
      <c r="B37" s="28">
        <v>1.3440000000000001</v>
      </c>
      <c r="C37" s="119" t="s">
        <v>23</v>
      </c>
      <c r="D37" s="55">
        <f>'Universal Input Prices'!$B$31</f>
        <v>12.45</v>
      </c>
      <c r="E37" s="34">
        <v>0</v>
      </c>
      <c r="F37" s="39">
        <f t="shared" si="1"/>
        <v>16.732800000000001</v>
      </c>
      <c r="G37" s="39">
        <f t="shared" si="2"/>
        <v>16.732800000000001</v>
      </c>
      <c r="H37" s="39">
        <f t="shared" si="3"/>
        <v>0</v>
      </c>
      <c r="I37" s="4"/>
      <c r="J37" s="4"/>
      <c r="K37" s="308"/>
      <c r="L37" s="4"/>
      <c r="M37" s="4"/>
      <c r="N37" s="308"/>
      <c r="O37" s="4"/>
      <c r="P37" s="4"/>
      <c r="Q37" s="308"/>
      <c r="R37" s="4"/>
      <c r="S37" s="4"/>
      <c r="T37" s="308"/>
    </row>
    <row r="38" spans="1:20" x14ac:dyDescent="0.25">
      <c r="A38" s="4" t="s">
        <v>25</v>
      </c>
      <c r="B38" s="28">
        <v>6.82</v>
      </c>
      <c r="C38" s="119" t="s">
        <v>26</v>
      </c>
      <c r="D38" s="55">
        <f>'Universal Input Prices'!$B$32</f>
        <v>1.81</v>
      </c>
      <c r="E38" s="34">
        <v>0</v>
      </c>
      <c r="F38" s="39">
        <f t="shared" si="1"/>
        <v>12.344200000000001</v>
      </c>
      <c r="G38" s="39">
        <f t="shared" si="2"/>
        <v>12.344200000000001</v>
      </c>
      <c r="H38" s="39">
        <f t="shared" si="3"/>
        <v>0</v>
      </c>
      <c r="I38" s="4"/>
      <c r="J38" s="4"/>
      <c r="K38" s="308"/>
      <c r="L38" s="4"/>
      <c r="M38" s="4"/>
      <c r="N38" s="308"/>
      <c r="O38" s="4"/>
      <c r="P38" s="4"/>
      <c r="Q38" s="308"/>
      <c r="R38" s="4"/>
      <c r="S38" s="4"/>
      <c r="T38" s="308"/>
    </row>
    <row r="39" spans="1:20" x14ac:dyDescent="0.25">
      <c r="A39" s="4" t="s">
        <v>27</v>
      </c>
      <c r="B39" s="28">
        <v>2.0492307689999998</v>
      </c>
      <c r="C39" s="119" t="s">
        <v>26</v>
      </c>
      <c r="D39" s="55">
        <f>'Universal Input Prices'!$B$33</f>
        <v>1.9259999999999999</v>
      </c>
      <c r="E39" s="34">
        <v>0</v>
      </c>
      <c r="F39" s="39">
        <f t="shared" si="1"/>
        <v>3.9468184610939994</v>
      </c>
      <c r="G39" s="39">
        <f t="shared" si="2"/>
        <v>3.9468184610939994</v>
      </c>
      <c r="H39" s="39">
        <f t="shared" si="3"/>
        <v>0</v>
      </c>
      <c r="I39" s="4"/>
      <c r="J39" s="4"/>
      <c r="K39" s="308"/>
      <c r="L39" s="4"/>
      <c r="M39" s="4"/>
      <c r="N39" s="308"/>
      <c r="O39" s="4"/>
      <c r="P39" s="4"/>
      <c r="Q39" s="308"/>
      <c r="R39" s="4"/>
      <c r="S39" s="4"/>
      <c r="T39" s="308"/>
    </row>
    <row r="40" spans="1:20" x14ac:dyDescent="0.25">
      <c r="A40" s="4" t="s">
        <v>28</v>
      </c>
      <c r="B40" s="28">
        <v>21</v>
      </c>
      <c r="C40" s="119" t="s">
        <v>29</v>
      </c>
      <c r="D40" s="55">
        <f>'Universal Input Prices'!$B$34</f>
        <v>3.6</v>
      </c>
      <c r="E40" s="34">
        <v>0.33</v>
      </c>
      <c r="F40" s="39">
        <f t="shared" si="1"/>
        <v>75.600000000000009</v>
      </c>
      <c r="G40" s="39">
        <f t="shared" si="2"/>
        <v>50.652000000000001</v>
      </c>
      <c r="H40" s="39">
        <f t="shared" si="3"/>
        <v>24.948000000000004</v>
      </c>
      <c r="I40" s="4"/>
      <c r="J40" s="4"/>
      <c r="K40" s="42"/>
      <c r="L40" s="4"/>
      <c r="M40" s="42"/>
      <c r="N40" s="42"/>
      <c r="O40" s="4"/>
      <c r="P40" s="4"/>
      <c r="Q40" s="42"/>
      <c r="R40" s="4"/>
      <c r="S40" s="4"/>
      <c r="T40" s="42"/>
    </row>
    <row r="41" spans="1:20" hidden="1" x14ac:dyDescent="0.25">
      <c r="A41" s="4" t="s">
        <v>248</v>
      </c>
      <c r="B41" s="28">
        <v>79.2</v>
      </c>
      <c r="C41" s="119"/>
      <c r="D41" s="55"/>
      <c r="E41" s="34"/>
      <c r="F41" s="39"/>
      <c r="G41" s="39"/>
      <c r="H41" s="39"/>
      <c r="I41" s="4"/>
      <c r="J41" s="4"/>
      <c r="K41" s="4"/>
      <c r="L41" s="4"/>
      <c r="M41" s="4"/>
      <c r="N41" s="4"/>
      <c r="O41" s="4"/>
      <c r="P41" s="4"/>
      <c r="Q41" s="4"/>
      <c r="R41" s="4"/>
      <c r="S41" s="4"/>
      <c r="T41" s="4"/>
    </row>
    <row r="42" spans="1:20" hidden="1" x14ac:dyDescent="0.25">
      <c r="A42" s="4" t="s">
        <v>249</v>
      </c>
      <c r="B42" s="48">
        <f>B40*18.85694/B41</f>
        <v>4.9999462121212117</v>
      </c>
      <c r="C42" s="119"/>
      <c r="D42" s="55"/>
      <c r="E42" s="34"/>
      <c r="F42" s="39"/>
      <c r="G42" s="39"/>
      <c r="H42" s="39"/>
      <c r="I42" s="4"/>
      <c r="J42" s="4"/>
      <c r="K42" s="4"/>
      <c r="L42" s="4"/>
      <c r="M42" s="4"/>
      <c r="N42" s="4"/>
      <c r="O42" s="4"/>
      <c r="P42" s="4"/>
      <c r="Q42" s="4"/>
      <c r="R42" s="4"/>
      <c r="S42" s="4"/>
      <c r="T42" s="4"/>
    </row>
    <row r="43" spans="1:20" x14ac:dyDescent="0.25">
      <c r="A43" s="4" t="s">
        <v>30</v>
      </c>
      <c r="B43" s="5"/>
      <c r="C43" s="119"/>
      <c r="D43" s="15"/>
      <c r="E43" s="36"/>
      <c r="F43" s="39"/>
      <c r="G43" s="39">
        <f t="shared" si="2"/>
        <v>0</v>
      </c>
      <c r="H43" s="39">
        <f t="shared" si="3"/>
        <v>0</v>
      </c>
      <c r="I43" s="4"/>
      <c r="J43" s="4"/>
      <c r="K43" s="4"/>
      <c r="L43" s="4"/>
      <c r="M43" s="4"/>
      <c r="N43" s="4"/>
      <c r="O43" s="4"/>
      <c r="P43" s="4"/>
      <c r="Q43" s="4"/>
      <c r="R43" s="4"/>
      <c r="S43" s="4"/>
      <c r="T43" s="4"/>
    </row>
    <row r="44" spans="1:20" x14ac:dyDescent="0.25">
      <c r="A44" s="7" t="s">
        <v>31</v>
      </c>
      <c r="B44" s="5">
        <v>1</v>
      </c>
      <c r="C44" s="119" t="s">
        <v>14</v>
      </c>
      <c r="D44" s="14">
        <v>24.39</v>
      </c>
      <c r="E44" s="34">
        <v>0</v>
      </c>
      <c r="F44" s="39">
        <f>D44*B44</f>
        <v>24.39</v>
      </c>
      <c r="G44" s="39">
        <f t="shared" si="2"/>
        <v>24.39</v>
      </c>
      <c r="H44" s="39">
        <f t="shared" si="3"/>
        <v>0</v>
      </c>
      <c r="I44" s="4"/>
      <c r="J44" s="4"/>
      <c r="K44" s="308"/>
      <c r="L44" s="4"/>
      <c r="M44" s="4"/>
      <c r="N44" s="308"/>
      <c r="O44" s="4"/>
      <c r="P44" s="4"/>
      <c r="Q44" s="308"/>
      <c r="R44" s="4"/>
      <c r="S44" s="181"/>
      <c r="T44" s="308"/>
    </row>
    <row r="45" spans="1:20" x14ac:dyDescent="0.25">
      <c r="A45" s="7" t="s">
        <v>2</v>
      </c>
      <c r="B45" s="5">
        <v>1</v>
      </c>
      <c r="C45" s="119" t="s">
        <v>14</v>
      </c>
      <c r="D45" s="14">
        <v>11.8</v>
      </c>
      <c r="E45" s="34">
        <v>0</v>
      </c>
      <c r="F45" s="39">
        <f>D45*B45</f>
        <v>11.8</v>
      </c>
      <c r="G45" s="39">
        <f t="shared" si="2"/>
        <v>11.8</v>
      </c>
      <c r="H45" s="39">
        <f t="shared" si="3"/>
        <v>0</v>
      </c>
      <c r="I45" s="4"/>
      <c r="J45" s="4"/>
      <c r="K45" s="308"/>
      <c r="L45" s="4"/>
      <c r="M45" s="4"/>
      <c r="N45" s="308"/>
      <c r="O45" s="4"/>
      <c r="P45" s="4"/>
      <c r="Q45" s="308"/>
      <c r="R45" s="4"/>
      <c r="S45" s="181"/>
      <c r="T45" s="308"/>
    </row>
    <row r="46" spans="1:20" x14ac:dyDescent="0.25">
      <c r="A46" s="7" t="s">
        <v>32</v>
      </c>
      <c r="B46" s="5">
        <f>B40</f>
        <v>21</v>
      </c>
      <c r="C46" s="119" t="s">
        <v>29</v>
      </c>
      <c r="D46" s="14">
        <v>4.04</v>
      </c>
      <c r="E46" s="34">
        <v>0</v>
      </c>
      <c r="F46" s="39">
        <f>D46*B46</f>
        <v>84.84</v>
      </c>
      <c r="G46" s="39">
        <f t="shared" si="2"/>
        <v>84.84</v>
      </c>
      <c r="H46" s="39">
        <f t="shared" si="3"/>
        <v>0</v>
      </c>
      <c r="I46" s="4"/>
      <c r="J46" s="4"/>
      <c r="K46" s="308"/>
      <c r="L46" s="4"/>
      <c r="M46" s="4"/>
      <c r="N46" s="308"/>
      <c r="O46" s="4"/>
      <c r="P46" s="4"/>
      <c r="Q46" s="308"/>
      <c r="R46" s="4"/>
      <c r="S46" s="4"/>
      <c r="T46" s="308"/>
    </row>
    <row r="47" spans="1:20" x14ac:dyDescent="0.25">
      <c r="A47" s="7" t="s">
        <v>204</v>
      </c>
      <c r="B47" s="5">
        <v>1</v>
      </c>
      <c r="C47" s="119" t="s">
        <v>14</v>
      </c>
      <c r="D47" s="14">
        <v>0</v>
      </c>
      <c r="E47" s="34">
        <v>1</v>
      </c>
      <c r="F47" s="39">
        <f>D47*B47</f>
        <v>0</v>
      </c>
      <c r="G47" s="39">
        <f t="shared" si="2"/>
        <v>0</v>
      </c>
      <c r="H47" s="39">
        <f t="shared" si="3"/>
        <v>0</v>
      </c>
      <c r="I47" s="4"/>
      <c r="J47" s="4"/>
      <c r="K47" s="308"/>
      <c r="L47" s="4"/>
      <c r="M47" s="4"/>
      <c r="N47" s="308"/>
      <c r="O47" s="4"/>
      <c r="P47" s="4"/>
      <c r="Q47" s="308"/>
      <c r="R47" s="4"/>
      <c r="S47" s="4"/>
      <c r="T47" s="308"/>
    </row>
    <row r="48" spans="1:20" x14ac:dyDescent="0.25">
      <c r="A48" s="7" t="s">
        <v>33</v>
      </c>
      <c r="B48" s="5">
        <v>1</v>
      </c>
      <c r="C48" s="119" t="s">
        <v>14</v>
      </c>
      <c r="D48" s="14">
        <v>2.5099999999999998</v>
      </c>
      <c r="E48" s="34">
        <v>0</v>
      </c>
      <c r="F48" s="39">
        <f>D48*B48</f>
        <v>2.5099999999999998</v>
      </c>
      <c r="G48" s="39">
        <f t="shared" si="2"/>
        <v>2.5099999999999998</v>
      </c>
      <c r="H48" s="39">
        <f t="shared" si="3"/>
        <v>0</v>
      </c>
      <c r="I48" s="4"/>
      <c r="J48" s="4"/>
      <c r="K48" s="308"/>
      <c r="L48" s="4"/>
      <c r="M48" s="4"/>
      <c r="N48" s="308"/>
      <c r="O48" s="4"/>
      <c r="P48" s="4"/>
      <c r="Q48" s="308"/>
      <c r="R48" s="4"/>
      <c r="S48" s="4"/>
      <c r="T48" s="308"/>
    </row>
    <row r="49" spans="1:20" x14ac:dyDescent="0.25">
      <c r="A49" s="4" t="s">
        <v>34</v>
      </c>
      <c r="B49" s="89">
        <f>'Universal Input Prices'!$B$35</f>
        <v>5.3999999999999999E-2</v>
      </c>
      <c r="C49" s="119"/>
      <c r="D49" s="22"/>
      <c r="E49" s="36"/>
      <c r="F49" s="158">
        <f>(SUM(F16:F25,F29:F48))*$B49/2.5</f>
        <v>12.058495751669328</v>
      </c>
      <c r="G49" s="158">
        <f t="shared" ref="G49:H49" si="4">(SUM(G16:G25,G29:G48))*$B49/2</f>
        <v>12.907168867011407</v>
      </c>
      <c r="H49" s="158">
        <f t="shared" si="4"/>
        <v>2.1659508225752511</v>
      </c>
      <c r="I49" s="4"/>
      <c r="J49" s="4"/>
      <c r="K49" s="4"/>
      <c r="L49" s="4"/>
      <c r="M49" s="4"/>
      <c r="N49" s="4"/>
      <c r="O49" s="4"/>
      <c r="P49" s="4"/>
      <c r="Q49" s="4"/>
      <c r="R49" s="4"/>
      <c r="S49" s="4"/>
      <c r="T49" s="4"/>
    </row>
    <row r="50" spans="1:20" x14ac:dyDescent="0.25">
      <c r="A50" s="4"/>
      <c r="B50" s="10"/>
      <c r="C50" s="119"/>
      <c r="D50" s="8"/>
      <c r="E50" s="36"/>
      <c r="F50" s="39"/>
      <c r="G50" s="39"/>
      <c r="H50" s="39"/>
      <c r="I50" s="4"/>
      <c r="J50" s="4"/>
      <c r="K50" s="4"/>
      <c r="L50" s="4"/>
      <c r="M50" s="4"/>
      <c r="N50" s="4"/>
      <c r="O50" s="4"/>
      <c r="P50" s="4"/>
      <c r="Q50" s="4"/>
      <c r="R50" s="4"/>
      <c r="S50" s="4"/>
      <c r="T50" s="4"/>
    </row>
    <row r="51" spans="1:20" x14ac:dyDescent="0.25">
      <c r="A51" s="4" t="s">
        <v>205</v>
      </c>
      <c r="B51" s="10"/>
      <c r="C51" s="119"/>
      <c r="D51" s="8"/>
      <c r="E51" s="36"/>
      <c r="F51" s="39">
        <f>SUM(F16:F49)</f>
        <v>741.57218795858273</v>
      </c>
      <c r="G51" s="39">
        <f>SUM(G16:G49)</f>
        <v>653.95046023780435</v>
      </c>
      <c r="H51" s="39">
        <f>SUM(H16:H49)</f>
        <v>90.636351658695659</v>
      </c>
      <c r="I51" s="4"/>
      <c r="J51" s="4"/>
      <c r="K51" s="39"/>
      <c r="L51" s="4"/>
      <c r="M51" s="4"/>
      <c r="N51" s="39"/>
      <c r="O51" s="4"/>
      <c r="P51" s="4"/>
      <c r="Q51" s="39"/>
      <c r="R51" s="4"/>
      <c r="S51" s="4"/>
      <c r="T51" s="39"/>
    </row>
    <row r="52" spans="1:20" ht="13.8" x14ac:dyDescent="0.25">
      <c r="A52" s="12" t="s">
        <v>206</v>
      </c>
      <c r="B52" s="10"/>
      <c r="C52" s="119"/>
      <c r="D52" s="8"/>
      <c r="E52" s="36"/>
      <c r="F52" s="72">
        <f>F12-F51</f>
        <v>203.42781204141727</v>
      </c>
      <c r="G52" s="72">
        <f>G12-G51</f>
        <v>-20.800460237804373</v>
      </c>
      <c r="H52" s="72">
        <f>H12-H51</f>
        <v>221.21364834130435</v>
      </c>
      <c r="I52" s="4"/>
      <c r="J52" s="4"/>
      <c r="K52" s="42"/>
      <c r="L52" s="4"/>
      <c r="M52" s="4"/>
      <c r="N52" s="42"/>
      <c r="O52" s="4"/>
      <c r="P52" s="4"/>
      <c r="Q52" s="42"/>
      <c r="R52" s="4"/>
      <c r="S52" s="4"/>
      <c r="T52" s="42"/>
    </row>
    <row r="53" spans="1:20" x14ac:dyDescent="0.25">
      <c r="A53" s="4"/>
      <c r="B53" s="10"/>
      <c r="C53" s="119"/>
      <c r="D53" s="8"/>
      <c r="E53" s="36"/>
      <c r="F53" s="39"/>
      <c r="G53" s="39"/>
      <c r="H53" s="39"/>
      <c r="I53" s="4"/>
      <c r="J53" s="4"/>
      <c r="K53" s="4"/>
      <c r="L53" s="4"/>
      <c r="M53" s="4"/>
      <c r="N53" s="4"/>
      <c r="O53" s="4"/>
      <c r="P53" s="4"/>
      <c r="Q53" s="4"/>
      <c r="R53" s="4"/>
      <c r="S53" s="4"/>
      <c r="T53" s="4"/>
    </row>
    <row r="54" spans="1:20" x14ac:dyDescent="0.25">
      <c r="A54" s="4" t="s">
        <v>208</v>
      </c>
      <c r="B54" s="10"/>
      <c r="C54" s="119"/>
      <c r="D54" s="8"/>
      <c r="E54" s="36"/>
      <c r="F54" s="39"/>
      <c r="G54" s="39"/>
      <c r="H54" s="39"/>
      <c r="I54" s="4"/>
      <c r="J54" s="4"/>
      <c r="K54" s="4"/>
      <c r="L54" s="4"/>
      <c r="M54" s="4"/>
      <c r="N54" s="4"/>
      <c r="O54" s="4"/>
      <c r="P54" s="4"/>
      <c r="Q54" s="4"/>
      <c r="R54" s="4"/>
      <c r="S54" s="4"/>
      <c r="T54" s="4"/>
    </row>
    <row r="55" spans="1:20" x14ac:dyDescent="0.25">
      <c r="A55" s="7" t="s">
        <v>31</v>
      </c>
      <c r="B55" s="5">
        <v>1</v>
      </c>
      <c r="C55" s="119" t="s">
        <v>14</v>
      </c>
      <c r="D55" s="14">
        <v>35.81</v>
      </c>
      <c r="E55" s="34">
        <v>0</v>
      </c>
      <c r="F55" s="39">
        <f t="shared" ref="F55:F60" si="5">D55*B55</f>
        <v>35.81</v>
      </c>
      <c r="G55" s="39">
        <f t="shared" ref="G55:G63" si="6">F55*(1-E55)</f>
        <v>35.81</v>
      </c>
      <c r="H55" s="39">
        <f t="shared" ref="H55:H63" si="7">F55*E55</f>
        <v>0</v>
      </c>
      <c r="I55" s="4"/>
      <c r="J55" s="4"/>
      <c r="K55" s="4"/>
      <c r="L55" s="4"/>
      <c r="M55" s="4"/>
      <c r="N55" s="4"/>
      <c r="O55" s="4"/>
      <c r="P55" s="4"/>
      <c r="Q55" s="4"/>
      <c r="R55" s="4"/>
      <c r="S55" s="181"/>
      <c r="T55" s="4"/>
    </row>
    <row r="56" spans="1:20" x14ac:dyDescent="0.25">
      <c r="A56" s="7" t="s">
        <v>2</v>
      </c>
      <c r="B56" s="5">
        <v>1</v>
      </c>
      <c r="C56" s="119" t="s">
        <v>14</v>
      </c>
      <c r="D56" s="14">
        <v>17.05</v>
      </c>
      <c r="E56" s="34">
        <v>0</v>
      </c>
      <c r="F56" s="39">
        <f t="shared" si="5"/>
        <v>17.05</v>
      </c>
      <c r="G56" s="39">
        <f t="shared" si="6"/>
        <v>17.05</v>
      </c>
      <c r="H56" s="39">
        <f t="shared" si="7"/>
        <v>0</v>
      </c>
      <c r="I56" s="4"/>
      <c r="J56" s="4"/>
      <c r="K56" s="4"/>
      <c r="L56" s="4"/>
      <c r="M56" s="4"/>
      <c r="N56" s="4"/>
      <c r="O56" s="4"/>
      <c r="P56" s="4"/>
      <c r="Q56" s="4"/>
      <c r="R56" s="4"/>
      <c r="S56" s="181"/>
      <c r="T56" s="4"/>
    </row>
    <row r="57" spans="1:20" x14ac:dyDescent="0.25">
      <c r="A57" s="7" t="s">
        <v>273</v>
      </c>
      <c r="B57" s="5">
        <v>1</v>
      </c>
      <c r="C57" s="119" t="s">
        <v>14</v>
      </c>
      <c r="D57" s="14">
        <v>47.34</v>
      </c>
      <c r="E57" s="34">
        <v>0</v>
      </c>
      <c r="F57" s="39">
        <f t="shared" si="5"/>
        <v>47.34</v>
      </c>
      <c r="G57" s="39">
        <f t="shared" si="6"/>
        <v>47.34</v>
      </c>
      <c r="H57" s="39">
        <f t="shared" si="7"/>
        <v>0</v>
      </c>
      <c r="I57" s="4"/>
      <c r="J57" s="4"/>
      <c r="K57" s="4"/>
      <c r="L57" s="4"/>
      <c r="M57" s="4"/>
      <c r="N57" s="4"/>
      <c r="O57" s="4"/>
      <c r="P57" s="4"/>
      <c r="Q57" s="4"/>
      <c r="R57" s="4"/>
      <c r="S57" s="4"/>
      <c r="T57" s="4"/>
    </row>
    <row r="58" spans="1:20" x14ac:dyDescent="0.25">
      <c r="A58" s="7" t="s">
        <v>204</v>
      </c>
      <c r="B58" s="5">
        <v>1</v>
      </c>
      <c r="C58" s="119" t="s">
        <v>14</v>
      </c>
      <c r="D58" s="14">
        <v>0</v>
      </c>
      <c r="E58" s="34">
        <v>1</v>
      </c>
      <c r="F58" s="39">
        <f t="shared" si="5"/>
        <v>0</v>
      </c>
      <c r="G58" s="39">
        <f t="shared" si="6"/>
        <v>0</v>
      </c>
      <c r="H58" s="39">
        <f t="shared" si="7"/>
        <v>0</v>
      </c>
      <c r="I58" s="4"/>
      <c r="J58" s="4"/>
      <c r="K58" s="4"/>
      <c r="L58" s="4"/>
      <c r="M58" s="4"/>
      <c r="N58" s="4"/>
      <c r="O58" s="4"/>
      <c r="P58" s="4"/>
      <c r="Q58" s="4"/>
      <c r="R58" s="4"/>
      <c r="S58" s="4"/>
      <c r="T58" s="4"/>
    </row>
    <row r="59" spans="1:20" x14ac:dyDescent="0.25">
      <c r="A59" s="7" t="s">
        <v>33</v>
      </c>
      <c r="B59" s="5">
        <v>1</v>
      </c>
      <c r="C59" s="119" t="s">
        <v>14</v>
      </c>
      <c r="D59" s="14">
        <v>3.66</v>
      </c>
      <c r="E59" s="34">
        <v>0</v>
      </c>
      <c r="F59" s="39">
        <f t="shared" si="5"/>
        <v>3.66</v>
      </c>
      <c r="G59" s="39">
        <f t="shared" si="6"/>
        <v>3.66</v>
      </c>
      <c r="H59" s="39">
        <f t="shared" si="7"/>
        <v>0</v>
      </c>
      <c r="I59" s="4"/>
      <c r="J59" s="4"/>
      <c r="K59" s="4"/>
      <c r="L59" s="4"/>
      <c r="M59" s="4"/>
      <c r="N59" s="4"/>
      <c r="O59" s="4"/>
      <c r="P59" s="4"/>
      <c r="Q59" s="4"/>
      <c r="R59" s="4"/>
      <c r="S59" s="4"/>
      <c r="T59" s="4"/>
    </row>
    <row r="60" spans="1:20" x14ac:dyDescent="0.25">
      <c r="A60" s="7" t="s">
        <v>35</v>
      </c>
      <c r="B60" s="5">
        <v>1</v>
      </c>
      <c r="C60" s="119" t="s">
        <v>14</v>
      </c>
      <c r="D60" s="14">
        <v>0</v>
      </c>
      <c r="E60" s="34">
        <v>0</v>
      </c>
      <c r="F60" s="39">
        <f t="shared" si="5"/>
        <v>0</v>
      </c>
      <c r="G60" s="39">
        <f t="shared" si="6"/>
        <v>0</v>
      </c>
      <c r="H60" s="39">
        <f t="shared" si="7"/>
        <v>0</v>
      </c>
      <c r="I60" s="4"/>
      <c r="J60" s="4"/>
      <c r="K60" s="4"/>
      <c r="L60" s="4"/>
      <c r="M60" s="4"/>
      <c r="N60" s="4"/>
      <c r="O60" s="4"/>
      <c r="P60" s="4"/>
      <c r="Q60" s="4"/>
      <c r="R60" s="4"/>
      <c r="S60" s="4"/>
      <c r="T60" s="4"/>
    </row>
    <row r="61" spans="1:20" x14ac:dyDescent="0.25">
      <c r="A61" s="7" t="s">
        <v>272</v>
      </c>
      <c r="B61" s="5">
        <v>1</v>
      </c>
      <c r="C61" s="119" t="s">
        <v>14</v>
      </c>
      <c r="D61" s="14">
        <v>32.299999999999997</v>
      </c>
      <c r="E61" s="34">
        <v>0</v>
      </c>
      <c r="F61" s="39">
        <f>B61*D61</f>
        <v>32.299999999999997</v>
      </c>
      <c r="G61" s="39">
        <f t="shared" si="6"/>
        <v>32.299999999999997</v>
      </c>
      <c r="H61" s="39">
        <f t="shared" si="7"/>
        <v>0</v>
      </c>
      <c r="I61" s="4"/>
      <c r="J61" s="4"/>
      <c r="K61" s="4"/>
      <c r="L61" s="4"/>
      <c r="M61" s="4"/>
      <c r="N61" s="4"/>
      <c r="O61" s="4"/>
      <c r="P61" s="4"/>
      <c r="Q61" s="4"/>
      <c r="R61" s="4"/>
      <c r="S61" s="4"/>
      <c r="T61" s="4"/>
    </row>
    <row r="62" spans="1:20" x14ac:dyDescent="0.25">
      <c r="A62" s="7" t="s">
        <v>36</v>
      </c>
      <c r="B62" s="43">
        <v>1</v>
      </c>
      <c r="C62" s="119" t="s">
        <v>14</v>
      </c>
      <c r="D62" s="14">
        <v>72</v>
      </c>
      <c r="E62" s="34">
        <v>1</v>
      </c>
      <c r="F62" s="39">
        <f>D62*B62</f>
        <v>72</v>
      </c>
      <c r="G62" s="39">
        <f>IF($H$6="Cash",D62,F62*(1-E62))</f>
        <v>0</v>
      </c>
      <c r="H62" s="39">
        <f>IF($H$6="Cash",0,F62*E62)</f>
        <v>72</v>
      </c>
      <c r="I62" s="4"/>
      <c r="J62" s="4"/>
      <c r="K62" s="4"/>
      <c r="L62" s="4"/>
      <c r="M62" s="4"/>
      <c r="N62" s="4"/>
      <c r="O62" s="4"/>
      <c r="P62" s="4"/>
      <c r="Q62" s="4"/>
      <c r="R62" s="4"/>
      <c r="S62" s="4"/>
      <c r="T62" s="4"/>
    </row>
    <row r="63" spans="1:20" x14ac:dyDescent="0.25">
      <c r="A63" s="7" t="s">
        <v>42</v>
      </c>
      <c r="B63" s="43">
        <v>1</v>
      </c>
      <c r="C63" s="119" t="s">
        <v>14</v>
      </c>
      <c r="D63" s="14">
        <v>0</v>
      </c>
      <c r="E63" s="34">
        <v>1</v>
      </c>
      <c r="F63" s="39">
        <f>B63*D63</f>
        <v>0</v>
      </c>
      <c r="G63" s="39">
        <f t="shared" si="6"/>
        <v>0</v>
      </c>
      <c r="H63" s="39">
        <f t="shared" si="7"/>
        <v>0</v>
      </c>
      <c r="I63" s="4"/>
      <c r="J63" s="4"/>
      <c r="K63" s="4"/>
      <c r="L63" s="4"/>
      <c r="M63" s="4"/>
      <c r="N63" s="4"/>
      <c r="O63" s="4"/>
      <c r="P63" s="4"/>
      <c r="Q63" s="4"/>
      <c r="R63" s="4"/>
      <c r="S63" s="4"/>
      <c r="T63" s="4"/>
    </row>
    <row r="64" spans="1:20" x14ac:dyDescent="0.25">
      <c r="A64" s="4" t="s">
        <v>37</v>
      </c>
      <c r="B64" s="5"/>
      <c r="C64" s="119"/>
      <c r="D64" s="10"/>
      <c r="E64" s="36"/>
      <c r="F64" s="39">
        <f>SUM(F55:F63)</f>
        <v>208.16</v>
      </c>
      <c r="G64" s="39">
        <f>SUM(G55:G63)</f>
        <v>136.16</v>
      </c>
      <c r="H64" s="39">
        <f>SUM(H55:H63)</f>
        <v>72</v>
      </c>
      <c r="I64" s="4"/>
      <c r="J64" s="4"/>
      <c r="K64" s="4"/>
      <c r="L64" s="4"/>
      <c r="M64" s="4"/>
      <c r="N64" s="4"/>
      <c r="O64" s="4"/>
      <c r="P64" s="4"/>
      <c r="Q64" s="4"/>
      <c r="R64" s="4"/>
      <c r="S64" s="4"/>
      <c r="T64" s="4"/>
    </row>
    <row r="65" spans="1:20" x14ac:dyDescent="0.25">
      <c r="A65" s="4" t="s">
        <v>38</v>
      </c>
      <c r="B65" s="5"/>
      <c r="C65" s="119"/>
      <c r="D65" s="10"/>
      <c r="E65" s="36"/>
      <c r="F65" s="39">
        <f>F51+F64</f>
        <v>949.7321879585827</v>
      </c>
      <c r="G65" s="39">
        <f>G51+G64</f>
        <v>790.11046023780432</v>
      </c>
      <c r="H65" s="39">
        <f>H51+H64</f>
        <v>162.63635165869567</v>
      </c>
      <c r="I65" s="4"/>
      <c r="J65" s="4"/>
      <c r="K65" s="4"/>
      <c r="L65" s="4"/>
      <c r="M65" s="4"/>
      <c r="N65" s="4"/>
      <c r="O65" s="4"/>
      <c r="P65" s="4"/>
      <c r="Q65" s="4"/>
      <c r="R65" s="4"/>
      <c r="S65" s="4"/>
      <c r="T65" s="4"/>
    </row>
    <row r="66" spans="1:20" ht="13.8" x14ac:dyDescent="0.25">
      <c r="A66" s="12" t="s">
        <v>39</v>
      </c>
      <c r="B66" s="5"/>
      <c r="C66" s="119"/>
      <c r="D66" s="10"/>
      <c r="E66" s="36"/>
      <c r="F66" s="72">
        <f>F12-F65</f>
        <v>-4.7321879585826991</v>
      </c>
      <c r="G66" s="72">
        <f>G12-G65</f>
        <v>-156.96046023780434</v>
      </c>
      <c r="H66" s="72">
        <f>H12-H65</f>
        <v>149.21364834130435</v>
      </c>
      <c r="I66" s="4"/>
      <c r="J66" s="4"/>
      <c r="K66" s="4"/>
      <c r="L66" s="4"/>
      <c r="M66" s="4"/>
      <c r="N66" s="4"/>
      <c r="O66" s="4"/>
      <c r="P66" s="4"/>
      <c r="Q66" s="4"/>
      <c r="R66" s="4"/>
      <c r="S66" s="4"/>
      <c r="T66" s="4"/>
    </row>
    <row r="67" spans="1:20" x14ac:dyDescent="0.25">
      <c r="A67" s="4"/>
      <c r="B67" s="5"/>
      <c r="C67" s="5"/>
      <c r="D67" s="10"/>
      <c r="E67" s="36"/>
      <c r="F67" s="8"/>
      <c r="G67" s="8"/>
      <c r="H67" s="8"/>
      <c r="I67" s="4"/>
      <c r="J67" s="4"/>
      <c r="K67" s="4"/>
      <c r="L67" s="4"/>
      <c r="M67" s="4"/>
      <c r="N67" s="4"/>
      <c r="O67" s="4"/>
      <c r="P67" s="4"/>
      <c r="Q67" s="4"/>
      <c r="R67" s="4"/>
      <c r="S67" s="4"/>
      <c r="T67" s="4"/>
    </row>
    <row r="68" spans="1:20" ht="13.8" x14ac:dyDescent="0.25">
      <c r="A68" s="113" t="s">
        <v>161</v>
      </c>
      <c r="B68" s="113"/>
      <c r="C68" s="113"/>
      <c r="D68" s="113"/>
      <c r="E68" s="114"/>
      <c r="F68" s="115">
        <f>(F66/F65)</f>
        <v>-4.9826551301313448E-3</v>
      </c>
      <c r="G68" s="115">
        <f t="shared" ref="G68:H68" si="8">(G66/G65)</f>
        <v>-0.19865635013940078</v>
      </c>
      <c r="H68" s="115">
        <f t="shared" si="8"/>
        <v>0.91746800035480469</v>
      </c>
      <c r="I68" s="4"/>
      <c r="J68" s="4"/>
      <c r="K68" s="4"/>
      <c r="L68" s="4"/>
      <c r="M68" s="4"/>
      <c r="N68" s="4"/>
      <c r="O68" s="4"/>
      <c r="P68" s="4"/>
      <c r="Q68" s="4"/>
      <c r="R68" s="4"/>
      <c r="S68" s="4"/>
      <c r="T68" s="4"/>
    </row>
    <row r="69" spans="1:20" x14ac:dyDescent="0.25">
      <c r="A69" s="4"/>
      <c r="B69" s="41"/>
      <c r="C69" s="41"/>
      <c r="D69" s="46"/>
      <c r="E69" s="36"/>
      <c r="F69" s="42"/>
      <c r="G69" s="42"/>
      <c r="H69" s="42"/>
      <c r="I69" s="4"/>
      <c r="J69" s="4"/>
      <c r="K69" s="4"/>
      <c r="L69" s="4"/>
      <c r="M69" s="4"/>
      <c r="N69" s="4"/>
      <c r="O69" s="4"/>
      <c r="P69" s="4"/>
      <c r="Q69" s="4"/>
      <c r="R69" s="4"/>
      <c r="S69" s="4"/>
      <c r="T69" s="4"/>
    </row>
    <row r="70" spans="1:20" x14ac:dyDescent="0.25">
      <c r="A70" s="4"/>
      <c r="B70" s="4"/>
      <c r="C70" s="4"/>
      <c r="D70" s="4"/>
      <c r="E70" s="36"/>
      <c r="F70" s="4"/>
      <c r="G70" s="4"/>
      <c r="H70" s="4"/>
      <c r="I70" s="4"/>
      <c r="J70" s="4"/>
      <c r="K70" s="4"/>
      <c r="L70" s="4"/>
      <c r="M70" s="4"/>
      <c r="N70" s="4"/>
      <c r="O70" s="4"/>
      <c r="P70" s="4"/>
      <c r="Q70" s="4"/>
      <c r="R70" s="4"/>
      <c r="S70" s="4"/>
      <c r="T70" s="4"/>
    </row>
    <row r="71" spans="1:20" x14ac:dyDescent="0.25">
      <c r="A71" s="4"/>
      <c r="B71" s="4"/>
      <c r="C71" s="4"/>
      <c r="D71" s="4"/>
      <c r="E71" s="36"/>
      <c r="F71" s="4"/>
      <c r="G71" s="4"/>
      <c r="H71" s="4"/>
      <c r="I71" s="4"/>
      <c r="J71" s="4"/>
      <c r="K71" s="4"/>
      <c r="L71" s="4"/>
      <c r="M71" s="4"/>
      <c r="N71" s="4"/>
      <c r="O71" s="4"/>
      <c r="P71" s="4"/>
      <c r="Q71" s="4"/>
      <c r="R71" s="4"/>
      <c r="S71" s="4"/>
      <c r="T71" s="4"/>
    </row>
    <row r="72" spans="1:20" x14ac:dyDescent="0.25">
      <c r="A72" s="4"/>
      <c r="B72" s="4"/>
      <c r="C72" s="4"/>
      <c r="D72" s="4"/>
      <c r="E72" s="10"/>
      <c r="F72" s="4"/>
      <c r="G72" s="4"/>
      <c r="H72" s="4"/>
      <c r="I72" s="4"/>
      <c r="J72" s="4"/>
      <c r="K72" s="4"/>
      <c r="L72" s="4"/>
      <c r="M72" s="4"/>
      <c r="N72" s="4"/>
      <c r="O72" s="4"/>
      <c r="P72" s="4"/>
      <c r="Q72" s="4"/>
      <c r="R72" s="4"/>
      <c r="S72" s="4"/>
      <c r="T72" s="4"/>
    </row>
    <row r="73" spans="1:20" x14ac:dyDescent="0.25">
      <c r="A73" s="4"/>
      <c r="B73" s="4"/>
      <c r="C73" s="4"/>
      <c r="D73" s="4"/>
      <c r="E73" s="10"/>
      <c r="F73" s="4"/>
      <c r="G73" s="4"/>
      <c r="H73" s="4"/>
      <c r="I73" s="4"/>
      <c r="J73" s="4"/>
      <c r="K73" s="4"/>
      <c r="L73" s="4"/>
      <c r="M73" s="4"/>
      <c r="N73" s="4"/>
      <c r="O73" s="4"/>
      <c r="P73" s="4"/>
      <c r="Q73" s="4"/>
      <c r="R73" s="4"/>
      <c r="S73" s="4"/>
      <c r="T73" s="4"/>
    </row>
    <row r="74" spans="1:20" x14ac:dyDescent="0.25">
      <c r="A74" s="4"/>
      <c r="B74" s="4"/>
      <c r="C74" s="4"/>
      <c r="D74" s="4"/>
      <c r="E74" s="10"/>
      <c r="F74" s="4"/>
      <c r="G74" s="4"/>
      <c r="H74" s="4"/>
      <c r="I74" s="4"/>
      <c r="J74" s="4"/>
      <c r="K74" s="4"/>
      <c r="L74" s="4"/>
      <c r="M74" s="4"/>
      <c r="N74" s="4"/>
      <c r="O74" s="4"/>
      <c r="P74" s="4"/>
      <c r="Q74" s="4"/>
      <c r="R74" s="4"/>
      <c r="S74" s="4"/>
      <c r="T74" s="4"/>
    </row>
    <row r="75" spans="1:20" x14ac:dyDescent="0.25">
      <c r="A75" s="4"/>
      <c r="B75" s="4"/>
      <c r="C75" s="4"/>
      <c r="D75" s="4"/>
      <c r="E75" s="4"/>
      <c r="F75" s="4"/>
      <c r="G75" s="4"/>
      <c r="H75" s="4"/>
      <c r="I75" s="4"/>
      <c r="J75" s="4"/>
      <c r="K75" s="4"/>
      <c r="L75" s="4"/>
      <c r="M75" s="4"/>
      <c r="N75" s="4"/>
      <c r="O75" s="4"/>
      <c r="P75" s="4"/>
      <c r="Q75" s="4"/>
      <c r="R75" s="4"/>
      <c r="S75" s="4"/>
      <c r="T75" s="4"/>
    </row>
    <row r="76" spans="1:20" x14ac:dyDescent="0.25">
      <c r="A76" s="4"/>
      <c r="B76" s="4"/>
      <c r="C76" s="4"/>
      <c r="D76" s="4"/>
      <c r="E76" s="46"/>
      <c r="F76" s="4"/>
      <c r="G76" s="4"/>
      <c r="H76" s="4"/>
      <c r="I76" s="4"/>
      <c r="J76" s="4"/>
      <c r="K76" s="4"/>
      <c r="L76" s="4"/>
      <c r="M76" s="4"/>
      <c r="N76" s="4"/>
      <c r="O76" s="4"/>
      <c r="P76" s="4"/>
      <c r="Q76" s="4"/>
      <c r="R76" s="4"/>
      <c r="S76" s="4"/>
      <c r="T76" s="4"/>
    </row>
    <row r="77" spans="1:20" x14ac:dyDescent="0.25">
      <c r="A77" s="4"/>
      <c r="B77" s="4"/>
      <c r="C77" s="4"/>
      <c r="D77" s="4"/>
      <c r="E77" s="4"/>
      <c r="F77" s="4"/>
      <c r="G77" s="4"/>
      <c r="H77" s="4"/>
      <c r="I77" s="4"/>
      <c r="J77" s="4"/>
      <c r="K77" s="4"/>
      <c r="L77" s="4"/>
      <c r="M77" s="4"/>
      <c r="N77" s="4"/>
      <c r="O77" s="4"/>
      <c r="P77" s="4"/>
      <c r="Q77" s="4"/>
      <c r="R77" s="4"/>
      <c r="S77" s="4"/>
      <c r="T77" s="4"/>
    </row>
    <row r="78" spans="1:20" x14ac:dyDescent="0.25">
      <c r="A78" s="4"/>
      <c r="B78" s="4"/>
      <c r="C78" s="4"/>
      <c r="D78" s="4"/>
      <c r="E78" s="4"/>
      <c r="F78" s="4"/>
      <c r="G78" s="4"/>
      <c r="H78" s="4"/>
    </row>
    <row r="79" spans="1:20" x14ac:dyDescent="0.25">
      <c r="A79" s="4"/>
      <c r="B79" s="4"/>
      <c r="C79" s="4"/>
      <c r="D79" s="4"/>
      <c r="E79" s="4"/>
      <c r="F79" s="4"/>
      <c r="G79" s="4"/>
      <c r="H79" s="4"/>
    </row>
    <row r="80" spans="1:20" x14ac:dyDescent="0.25">
      <c r="A80" s="4"/>
      <c r="B80" s="4"/>
      <c r="C80" s="4"/>
      <c r="D80" s="4"/>
      <c r="E80" s="4"/>
      <c r="F80" s="4"/>
      <c r="G80" s="4"/>
      <c r="H80" s="4"/>
    </row>
  </sheetData>
  <sheetProtection sheet="1" objects="1" scenarios="1" formatColumns="0" formatRows="0" selectLockedCells="1"/>
  <mergeCells count="3">
    <mergeCell ref="A2:H2"/>
    <mergeCell ref="A3:H3"/>
    <mergeCell ref="A4:H4"/>
  </mergeCells>
  <phoneticPr fontId="0" type="noConversion"/>
  <dataValidations count="2">
    <dataValidation type="list" allowBlank="1" showInputMessage="1" showErrorMessage="1" promptTitle="Cash Lease" prompt="If land is cash leased the land charge will be used as the landlord's income.  Any landlord overhead expenses should be entered and the share set at 100% to show the bottom line net return." sqref="H6">
      <formula1>$I$5:$I$6</formula1>
    </dataValidation>
    <dataValidation type="list" allowBlank="1" showInputMessage="1" showErrorMessage="1" sqref="A19:A21">
      <formula1>Fert_Names</formula1>
    </dataValidation>
  </dataValidations>
  <printOptions horizontalCentered="1"/>
  <pageMargins left="0.25" right="0.25" top="0.75" bottom="0.75" header="0.3" footer="0.3"/>
  <pageSetup scale="76" orientation="portrait" r:id="rId1"/>
  <headerFooter alignWithMargins="0">
    <oddFooter>&amp;C&amp;8Texas AgriLife Extension Service provides this software for educational use, solely on an “AS IS” basis and  assumes no liability for its use.</oddFooter>
  </headerFooter>
  <ignoredErrors>
    <ignoredError sqref="D38 D20"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88</vt:i4>
      </vt:variant>
    </vt:vector>
  </HeadingPairs>
  <TitlesOfParts>
    <vt:vector size="118" baseType="lpstr">
      <vt:lpstr>Instructions</vt:lpstr>
      <vt:lpstr>Menu</vt:lpstr>
      <vt:lpstr>Universal Input Prices</vt:lpstr>
      <vt:lpstr>Irr Alfalfa</vt:lpstr>
      <vt:lpstr>Irr Canola</vt:lpstr>
      <vt:lpstr>Irr Corn</vt:lpstr>
      <vt:lpstr>Irr Corn Silage</vt:lpstr>
      <vt:lpstr>Irr Cotton</vt:lpstr>
      <vt:lpstr>Irr Peanuts</vt:lpstr>
      <vt:lpstr>Irr Sorghum</vt:lpstr>
      <vt:lpstr>Irr Sorghum Seed</vt:lpstr>
      <vt:lpstr>Irr Sorghum Silage</vt:lpstr>
      <vt:lpstr>Irr Sorghum Sudangrass</vt:lpstr>
      <vt:lpstr>Irr Soybeans</vt:lpstr>
      <vt:lpstr>Irr Sunflowers-Confection</vt:lpstr>
      <vt:lpstr>Irr Sunflowers-Oilseed</vt:lpstr>
      <vt:lpstr>Irr Triticale Silage</vt:lpstr>
      <vt:lpstr>Irr Wheat</vt:lpstr>
      <vt:lpstr>Irr Other Crop</vt:lpstr>
      <vt:lpstr>Dry Canola</vt:lpstr>
      <vt:lpstr>Dry Cotton</vt:lpstr>
      <vt:lpstr>Dry Sorghum</vt:lpstr>
      <vt:lpstr>Dry Sorghum Sudangrass</vt:lpstr>
      <vt:lpstr>Dry Sunflowers-Oilseed</vt:lpstr>
      <vt:lpstr>Dry Wheat</vt:lpstr>
      <vt:lpstr>Dry Other Crop</vt:lpstr>
      <vt:lpstr>Break-Even Comparison</vt:lpstr>
      <vt:lpstr>Comparative Returns</vt:lpstr>
      <vt:lpstr>Irrigation Analysis</vt:lpstr>
      <vt:lpstr>Graphs</vt:lpstr>
      <vt:lpstr>Alfalfa_GPM</vt:lpstr>
      <vt:lpstr>Alfalfa_Inches</vt:lpstr>
      <vt:lpstr>Alfalfa_Price</vt:lpstr>
      <vt:lpstr>Canola_GPM</vt:lpstr>
      <vt:lpstr>Canola_Inches</vt:lpstr>
      <vt:lpstr>Canola_Price</vt:lpstr>
      <vt:lpstr>Corn_GPM</vt:lpstr>
      <vt:lpstr>Corn_Inches</vt:lpstr>
      <vt:lpstr>Corn_Price</vt:lpstr>
      <vt:lpstr>Corn_Silage_GPM</vt:lpstr>
      <vt:lpstr>Corn_Silage_Inches</vt:lpstr>
      <vt:lpstr>Corn_Silage_Price</vt:lpstr>
      <vt:lpstr>Cotton_GPM</vt:lpstr>
      <vt:lpstr>Cotton_Inches</vt:lpstr>
      <vt:lpstr>Cotton_Price</vt:lpstr>
      <vt:lpstr>Cottonseed_Price</vt:lpstr>
      <vt:lpstr>Dry_Other_Price</vt:lpstr>
      <vt:lpstr>Fert_Names</vt:lpstr>
      <vt:lpstr>FIGURE1</vt:lpstr>
      <vt:lpstr>FIGURE2</vt:lpstr>
      <vt:lpstr>Grazing_Price</vt:lpstr>
      <vt:lpstr>Irr_Alfalfa_Share</vt:lpstr>
      <vt:lpstr>Irr_Other_Price</vt:lpstr>
      <vt:lpstr>Limited_Input</vt:lpstr>
      <vt:lpstr>Other_GPM</vt:lpstr>
      <vt:lpstr>Other_Inches</vt:lpstr>
      <vt:lpstr>Peanut_Price</vt:lpstr>
      <vt:lpstr>Peanuts_GPM</vt:lpstr>
      <vt:lpstr>Peanuts_Inches</vt:lpstr>
      <vt:lpstr>'Break-Even Comparison'!Print_Area</vt:lpstr>
      <vt:lpstr>'Comparative Returns'!Print_Area</vt:lpstr>
      <vt:lpstr>'Dry Canola'!Print_Area</vt:lpstr>
      <vt:lpstr>'Dry Cotton'!Print_Area</vt:lpstr>
      <vt:lpstr>'Dry Other Crop'!Print_Area</vt:lpstr>
      <vt:lpstr>'Dry Sorghum'!Print_Area</vt:lpstr>
      <vt:lpstr>'Dry Sorghum Sudangrass'!Print_Area</vt:lpstr>
      <vt:lpstr>'Dry Sunflowers-Oilseed'!Print_Area</vt:lpstr>
      <vt:lpstr>'Dry Wheat'!Print_Area</vt:lpstr>
      <vt:lpstr>Graphs!Print_Area</vt:lpstr>
      <vt:lpstr>Instructions!Print_Area</vt:lpstr>
      <vt:lpstr>'Irr Alfalfa'!Print_Area</vt:lpstr>
      <vt:lpstr>'Irr Canola'!Print_Area</vt:lpstr>
      <vt:lpstr>'Irr Corn'!Print_Area</vt:lpstr>
      <vt:lpstr>'Irr Corn Silage'!Print_Area</vt:lpstr>
      <vt:lpstr>'Irr Cotton'!Print_Area</vt:lpstr>
      <vt:lpstr>'Irr Other Crop'!Print_Area</vt:lpstr>
      <vt:lpstr>'Irr Peanuts'!Print_Area</vt:lpstr>
      <vt:lpstr>'Irr Sorghum'!Print_Area</vt:lpstr>
      <vt:lpstr>'Irr Sorghum Seed'!Print_Area</vt:lpstr>
      <vt:lpstr>'Irr Sorghum Silage'!Print_Area</vt:lpstr>
      <vt:lpstr>'Irr Sorghum Sudangrass'!Print_Area</vt:lpstr>
      <vt:lpstr>'Irr Soybeans'!Print_Area</vt:lpstr>
      <vt:lpstr>'Irr Sunflowers-Confection'!Print_Area</vt:lpstr>
      <vt:lpstr>'Irr Sunflowers-Oilseed'!Print_Area</vt:lpstr>
      <vt:lpstr>'Irr Triticale Silage'!Print_Area</vt:lpstr>
      <vt:lpstr>'Irr Wheat'!Print_Area</vt:lpstr>
      <vt:lpstr>'Irrigation Analysis'!Print_Area</vt:lpstr>
      <vt:lpstr>Menu!Print_Area</vt:lpstr>
      <vt:lpstr>'Universal Input Prices'!Print_Area</vt:lpstr>
      <vt:lpstr>'Break-Even Comparison'!Print_Titles</vt:lpstr>
      <vt:lpstr>'Comparative Returns'!Print_Titles</vt:lpstr>
      <vt:lpstr>ROVCCOMBO</vt:lpstr>
      <vt:lpstr>Sorghum_GPM</vt:lpstr>
      <vt:lpstr>Sorghum_Inches</vt:lpstr>
      <vt:lpstr>Sorghum_Price</vt:lpstr>
      <vt:lpstr>Sorghum_Seed_GPM</vt:lpstr>
      <vt:lpstr>Sorghum_Seed_Inches</vt:lpstr>
      <vt:lpstr>Sorghum_Seed_Price</vt:lpstr>
      <vt:lpstr>Sorghum_Silage_GPM</vt:lpstr>
      <vt:lpstr>Sorghum_Silage_Inches</vt:lpstr>
      <vt:lpstr>Sorghum_Silage_Price</vt:lpstr>
      <vt:lpstr>Sorghum_Sudan_GPM</vt:lpstr>
      <vt:lpstr>Sorghum_Sudan_Inches</vt:lpstr>
      <vt:lpstr>Soybean_Price</vt:lpstr>
      <vt:lpstr>Soybeans_GPM</vt:lpstr>
      <vt:lpstr>Soybeans_Inches</vt:lpstr>
      <vt:lpstr>Sunflower_Conf_Price</vt:lpstr>
      <vt:lpstr>Sunflower_Oil_Price</vt:lpstr>
      <vt:lpstr>Sunflowers_Conf_GPM</vt:lpstr>
      <vt:lpstr>Sunflowers_Conf_Inches</vt:lpstr>
      <vt:lpstr>Sunflowers_Oil_GPM</vt:lpstr>
      <vt:lpstr>Sunflowers_Oil_Inches</vt:lpstr>
      <vt:lpstr>Triticale_Silage_GPM</vt:lpstr>
      <vt:lpstr>Triticale_Silage_Inches</vt:lpstr>
      <vt:lpstr>Triticale_Silage_Price</vt:lpstr>
      <vt:lpstr>Wheat_GPM</vt:lpstr>
      <vt:lpstr>Wheat_Inches</vt:lpstr>
      <vt:lpstr>Wheat_Price</vt:lpstr>
    </vt:vector>
  </TitlesOfParts>
  <Company>Texas A&amp;M AgriLIFE Extension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Profitablity-Irrigation Analyzer</dc:title>
  <dc:subject>Version 12.02.2013</dc:subject>
  <dc:creator>Bridget Guerrero;jayates@ag.tamu.edu</dc:creator>
  <cp:lastModifiedBy>Steve Amosson</cp:lastModifiedBy>
  <cp:lastPrinted>2015-12-17T22:03:24Z</cp:lastPrinted>
  <dcterms:created xsi:type="dcterms:W3CDTF">2005-09-27T19:38:29Z</dcterms:created>
  <dcterms:modified xsi:type="dcterms:W3CDTF">2016-12-01T20:17:19Z</dcterms:modified>
</cp:coreProperties>
</file>