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9" yWindow="36" windowWidth="9378" windowHeight="4963" activeTab="1"/>
  </bookViews>
  <sheets>
    <sheet name="READ ME" sheetId="1" r:id="rId1"/>
    <sheet name="precon &amp; graze" sheetId="2" r:id="rId2"/>
    <sheet name="feedyard" sheetId="3" r:id="rId3"/>
  </sheets>
  <definedNames/>
  <calcPr fullCalcOnLoad="1"/>
</workbook>
</file>

<file path=xl/comments2.xml><?xml version="1.0" encoding="utf-8"?>
<comments xmlns="http://schemas.openxmlformats.org/spreadsheetml/2006/main">
  <authors>
    <author> </author>
    <author>Ted McCollum</author>
  </authors>
  <commentList>
    <comment ref="D9" authorId="0">
      <text>
        <r>
          <rPr>
            <b/>
            <sz val="8"/>
            <rFont val="Tahoma"/>
            <family val="2"/>
          </rPr>
          <t xml:space="preserve"> Days in period</t>
        </r>
        <r>
          <rPr>
            <sz val="8"/>
            <rFont val="Tahoma"/>
            <family val="2"/>
          </rPr>
          <t xml:space="preserve">
</t>
        </r>
      </text>
    </comment>
    <comment ref="B8" authorId="0">
      <text>
        <r>
          <rPr>
            <b/>
            <sz val="8"/>
            <rFont val="Tahoma"/>
            <family val="2"/>
          </rPr>
          <t>Define period of ownership; i.e. receiving, preconditioning,  receiving+wheat pasture, wheat, ETC.</t>
        </r>
        <r>
          <rPr>
            <sz val="8"/>
            <rFont val="Tahoma"/>
            <family val="2"/>
          </rPr>
          <t xml:space="preserve">
</t>
        </r>
      </text>
    </comment>
    <comment ref="D10" authorId="0">
      <text>
        <r>
          <rPr>
            <b/>
            <sz val="8"/>
            <rFont val="Tahoma"/>
            <family val="2"/>
          </rPr>
          <t xml:space="preserve"> Includes all vet/med incurred during this stage - processing, treatment, etc.</t>
        </r>
      </text>
    </comment>
    <comment ref="I16" authorId="0">
      <text>
        <r>
          <rPr>
            <b/>
            <sz val="8"/>
            <rFont val="Tahoma"/>
            <family val="2"/>
          </rPr>
          <t xml:space="preserve"> Pay-to-pay daily gain for the period
Enter the daily gain that will result in the projected pay weight (adjusted for actual shrink or pencil shrink) below</t>
        </r>
      </text>
    </comment>
    <comment ref="B33" authorId="0">
      <text>
        <r>
          <rPr>
            <b/>
            <sz val="8"/>
            <rFont val="Tahoma"/>
            <family val="2"/>
          </rPr>
          <t xml:space="preserve"> Define period of ownership; i.e. wheat pasture, summer grass, feedlot, ETC.
If there is not a stage 2 of ownership/production, then enter "0" in for all entries</t>
        </r>
      </text>
    </comment>
    <comment ref="D34" authorId="0">
      <text>
        <r>
          <rPr>
            <b/>
            <sz val="8"/>
            <rFont val="Tahoma"/>
            <family val="2"/>
          </rPr>
          <t xml:space="preserve"> Days in period</t>
        </r>
        <r>
          <rPr>
            <sz val="8"/>
            <rFont val="Tahoma"/>
            <family val="2"/>
          </rPr>
          <t xml:space="preserve">
</t>
        </r>
      </text>
    </comment>
    <comment ref="D35" authorId="0">
      <text>
        <r>
          <rPr>
            <b/>
            <sz val="8"/>
            <rFont val="Tahoma"/>
            <family val="2"/>
          </rPr>
          <t>Includes all vet/med incurred during this stage - processing, treatment, etc.</t>
        </r>
        <r>
          <rPr>
            <sz val="8"/>
            <rFont val="Tahoma"/>
            <family val="2"/>
          </rPr>
          <t xml:space="preserve">
</t>
        </r>
      </text>
    </comment>
    <comment ref="I41" authorId="0">
      <text>
        <r>
          <rPr>
            <b/>
            <sz val="8"/>
            <rFont val="Tahoma"/>
            <family val="2"/>
          </rPr>
          <t>Pay-to-pay daily gain for the period
Enter the daily gain that will result in the projected pay weight (adjusted for actual shrink or pencil shrink) below</t>
        </r>
      </text>
    </comment>
    <comment ref="D11" authorId="0">
      <text>
        <r>
          <rPr>
            <b/>
            <sz val="8"/>
            <rFont val="Tahoma"/>
            <family val="2"/>
          </rPr>
          <t>% of total  purchased</t>
        </r>
      </text>
    </comment>
    <comment ref="D36" authorId="0">
      <text>
        <r>
          <rPr>
            <b/>
            <sz val="8"/>
            <rFont val="Tahoma"/>
            <family val="2"/>
          </rPr>
          <t xml:space="preserve"> % of total purchased</t>
        </r>
      </text>
    </comment>
    <comment ref="C84" authorId="0">
      <text>
        <r>
          <rPr>
            <b/>
            <sz val="8"/>
            <rFont val="Tahoma"/>
            <family val="2"/>
          </rPr>
          <t>This value determines the roll up/down in price from the base price set on line 96.
If you do not know how to determine value of gain, simply adjust this value up or down until the price scale in lines 88 to 100 is representative of market price structure.</t>
        </r>
      </text>
    </comment>
    <comment ref="B87" authorId="0">
      <text>
        <r>
          <rPr>
            <b/>
            <sz val="8"/>
            <rFont val="Tahoma"/>
            <family val="2"/>
          </rPr>
          <t xml:space="preserve"> These values will be calculated automatically; 
Only enter a value for line 101</t>
        </r>
      </text>
    </comment>
    <comment ref="F87" authorId="0">
      <text>
        <r>
          <rPr>
            <b/>
            <sz val="8"/>
            <rFont val="Tahoma"/>
            <family val="2"/>
          </rPr>
          <t xml:space="preserve"> These values are calculated automatically based on the information entered above in lines 83-85</t>
        </r>
      </text>
    </comment>
    <comment ref="G83" authorId="0">
      <text>
        <r>
          <rPr>
            <b/>
            <sz val="8"/>
            <rFont val="Tahoma"/>
            <family val="2"/>
          </rPr>
          <t>Enter weight at which price slide begins</t>
        </r>
      </text>
    </comment>
    <comment ref="G84" authorId="0">
      <text>
        <r>
          <rPr>
            <b/>
            <sz val="8"/>
            <rFont val="Tahoma"/>
            <family val="2"/>
          </rPr>
          <t xml:space="preserve"> Enter base price for the weight entered above</t>
        </r>
      </text>
    </comment>
    <comment ref="G85" authorId="0">
      <text>
        <r>
          <rPr>
            <b/>
            <sz val="8"/>
            <rFont val="Tahoma"/>
            <family val="2"/>
          </rPr>
          <t>Enter the value for the slide</t>
        </r>
      </text>
    </comment>
    <comment ref="I73" authorId="0">
      <text>
        <r>
          <rPr>
            <b/>
            <sz val="8"/>
            <rFont val="Tahoma"/>
            <family val="2"/>
          </rPr>
          <t xml:space="preserve"> Enter a desired profit margin </t>
        </r>
      </text>
    </comment>
    <comment ref="I71" authorId="0">
      <text>
        <r>
          <rPr>
            <b/>
            <sz val="8"/>
            <rFont val="Tahoma"/>
            <family val="2"/>
          </rPr>
          <t xml:space="preserve"> Breakeven market value for yielding no profit at the end of ownership</t>
        </r>
      </text>
    </comment>
    <comment ref="I75" authorId="0">
      <text>
        <r>
          <rPr>
            <b/>
            <sz val="8"/>
            <rFont val="Tahoma"/>
            <family val="2"/>
          </rPr>
          <t xml:space="preserve"> Breakeven market value to achieve profit margin</t>
        </r>
      </text>
    </comment>
    <comment ref="A82" authorId="0">
      <text>
        <r>
          <rPr>
            <b/>
            <sz val="8"/>
            <rFont val="Tahoma"/>
            <family val="2"/>
          </rPr>
          <t>Continuous scale -
 prices  ($/cwt) rolling up/down as sale weight increases/decreases. 
This price structure is displayed in columns A and B below</t>
        </r>
        <r>
          <rPr>
            <sz val="8"/>
            <rFont val="Tahoma"/>
            <family val="2"/>
          </rPr>
          <t xml:space="preserve">
</t>
        </r>
      </text>
    </comment>
    <comment ref="E82" authorId="0">
      <text>
        <r>
          <rPr>
            <b/>
            <sz val="8"/>
            <rFont val="Tahoma"/>
            <family val="2"/>
          </rPr>
          <t>Weight limit with price slide-
Sets market structure based on a base price and base weight.
When weight surpasses the base weight, price slides as weight increases</t>
        </r>
      </text>
    </comment>
    <comment ref="A108" authorId="0">
      <text>
        <r>
          <rPr>
            <b/>
            <sz val="8"/>
            <rFont val="Tahoma"/>
            <family val="2"/>
          </rPr>
          <t xml:space="preserve"> This is net returns above total cost;  this is not net return above total cost plus the desired proft indicated in cell I73.</t>
        </r>
      </text>
    </comment>
    <comment ref="C108" authorId="0">
      <text>
        <r>
          <rPr>
            <b/>
            <sz val="8"/>
            <rFont val="Tahoma"/>
            <family val="2"/>
          </rPr>
          <t xml:space="preserve"> This is net return based on the market structure under the continuous pricing scale</t>
        </r>
        <r>
          <rPr>
            <sz val="8"/>
            <rFont val="Tahoma"/>
            <family val="2"/>
          </rPr>
          <t xml:space="preserve">
</t>
        </r>
      </text>
    </comment>
    <comment ref="G108" authorId="0">
      <text>
        <r>
          <rPr>
            <b/>
            <sz val="8"/>
            <rFont val="Tahoma"/>
            <family val="2"/>
          </rPr>
          <t xml:space="preserve"> This is net return based on the market structure under the continuous pricing scale</t>
        </r>
      </text>
    </comment>
    <comment ref="G22" authorId="0">
      <text>
        <r>
          <rPr>
            <b/>
            <sz val="8"/>
            <rFont val="Tahoma"/>
            <family val="2"/>
          </rPr>
          <t xml:space="preserve"> This is the price required to breakeven if the calves are sold at the end of this period</t>
        </r>
      </text>
    </comment>
    <comment ref="G71" authorId="0">
      <text>
        <r>
          <rPr>
            <b/>
            <sz val="8"/>
            <rFont val="Tahoma"/>
            <family val="2"/>
          </rPr>
          <t xml:space="preserve"> This is the price required to breakeven at the end of ownership</t>
        </r>
      </text>
    </comment>
    <comment ref="G75" authorId="0">
      <text>
        <r>
          <rPr>
            <b/>
            <sz val="8"/>
            <rFont val="Tahoma"/>
            <family val="2"/>
          </rPr>
          <t xml:space="preserve"> This is the price required to recoup breakeven and and the desired profit entered above.</t>
        </r>
      </text>
    </comment>
    <comment ref="G21" authorId="1">
      <text>
        <r>
          <rPr>
            <b/>
            <sz val="9"/>
            <rFont val="Tahoma"/>
            <family val="2"/>
          </rPr>
          <t>Purchase+inbound freight+stage 1 costs+ accumulated interest on cattle purchase</t>
        </r>
        <r>
          <rPr>
            <sz val="9"/>
            <rFont val="Tahoma"/>
            <family val="2"/>
          </rPr>
          <t xml:space="preserve">
</t>
        </r>
      </text>
    </comment>
  </commentList>
</comments>
</file>

<file path=xl/comments3.xml><?xml version="1.0" encoding="utf-8"?>
<comments xmlns="http://schemas.openxmlformats.org/spreadsheetml/2006/main">
  <authors>
    <author> </author>
  </authors>
  <commentList>
    <comment ref="D9" authorId="0">
      <text>
        <r>
          <rPr>
            <b/>
            <sz val="8"/>
            <rFont val="Tahoma"/>
            <family val="2"/>
          </rPr>
          <t xml:space="preserve"> Days in period</t>
        </r>
        <r>
          <rPr>
            <sz val="8"/>
            <rFont val="Tahoma"/>
            <family val="2"/>
          </rPr>
          <t xml:space="preserve">
</t>
        </r>
      </text>
    </comment>
    <comment ref="D10" authorId="0">
      <text>
        <r>
          <rPr>
            <b/>
            <sz val="8"/>
            <rFont val="Tahoma"/>
            <family val="2"/>
          </rPr>
          <t xml:space="preserve"> Includes all vet/med incurred during this stage - processing, treatment, etc.</t>
        </r>
      </text>
    </comment>
    <comment ref="D11" authorId="0">
      <text>
        <r>
          <rPr>
            <b/>
            <sz val="8"/>
            <rFont val="Tahoma"/>
            <family val="2"/>
          </rPr>
          <t>% of total  purchased</t>
        </r>
      </text>
    </comment>
    <comment ref="I16" authorId="0">
      <text>
        <r>
          <rPr>
            <b/>
            <sz val="8"/>
            <rFont val="Tahoma"/>
            <family val="2"/>
          </rPr>
          <t xml:space="preserve"> Pay-to-pay daily gain for the period
Enter the daily gain that will result in the projected pay weight (adjusted for actual shrink or pencil shrink) below</t>
        </r>
      </text>
    </comment>
    <comment ref="G22" authorId="0">
      <text>
        <r>
          <rPr>
            <b/>
            <sz val="8"/>
            <rFont val="Tahoma"/>
            <family val="2"/>
          </rPr>
          <t xml:space="preserve"> This is the price required to breakeven if the calves are sold at the end of this period</t>
        </r>
      </text>
    </comment>
    <comment ref="B33" authorId="0">
      <text>
        <r>
          <rPr>
            <b/>
            <sz val="8"/>
            <rFont val="Tahoma"/>
            <family val="2"/>
          </rPr>
          <t xml:space="preserve"> Define period of ownership; i.e. wheat pasture, summer grass, feedlot, ETC.
If there is not a stage 2 of ownership/production, then enter "0" in for all entries</t>
        </r>
      </text>
    </comment>
    <comment ref="D34" authorId="0">
      <text>
        <r>
          <rPr>
            <b/>
            <sz val="8"/>
            <rFont val="Tahoma"/>
            <family val="2"/>
          </rPr>
          <t xml:space="preserve"> Days in period</t>
        </r>
        <r>
          <rPr>
            <sz val="8"/>
            <rFont val="Tahoma"/>
            <family val="2"/>
          </rPr>
          <t xml:space="preserve">
</t>
        </r>
      </text>
    </comment>
    <comment ref="D35" authorId="0">
      <text>
        <r>
          <rPr>
            <b/>
            <sz val="8"/>
            <rFont val="Tahoma"/>
            <family val="2"/>
          </rPr>
          <t>Includes all vet/med incurred during this stage - processing, treatment, etc.</t>
        </r>
        <r>
          <rPr>
            <sz val="8"/>
            <rFont val="Tahoma"/>
            <family val="2"/>
          </rPr>
          <t xml:space="preserve">
</t>
        </r>
      </text>
    </comment>
    <comment ref="D36" authorId="0">
      <text>
        <r>
          <rPr>
            <b/>
            <sz val="8"/>
            <rFont val="Tahoma"/>
            <family val="2"/>
          </rPr>
          <t xml:space="preserve"> % of total purchased</t>
        </r>
      </text>
    </comment>
    <comment ref="I41" authorId="0">
      <text>
        <r>
          <rPr>
            <b/>
            <sz val="8"/>
            <rFont val="Tahoma"/>
            <family val="2"/>
          </rPr>
          <t>Pay-to-pay daily gain for the period
Enter the daily gain that will result in the projected pay weight (adjusted for actual shrink or pencil shrink) below</t>
        </r>
      </text>
    </comment>
    <comment ref="G63" authorId="0">
      <text>
        <r>
          <rPr>
            <b/>
            <sz val="8"/>
            <rFont val="Tahoma"/>
            <family val="2"/>
          </rPr>
          <t xml:space="preserve"> This is the price required to breakeven at the end of ownership</t>
        </r>
      </text>
    </comment>
    <comment ref="I63" authorId="0">
      <text>
        <r>
          <rPr>
            <b/>
            <sz val="8"/>
            <rFont val="Tahoma"/>
            <family val="2"/>
          </rPr>
          <t xml:space="preserve"> Breakeven market value for yielding no profit at the end of ownership</t>
        </r>
      </text>
    </comment>
    <comment ref="I65" authorId="0">
      <text>
        <r>
          <rPr>
            <b/>
            <sz val="8"/>
            <rFont val="Tahoma"/>
            <family val="2"/>
          </rPr>
          <t xml:space="preserve"> Enter a desired profit margin </t>
        </r>
      </text>
    </comment>
    <comment ref="G67" authorId="0">
      <text>
        <r>
          <rPr>
            <b/>
            <sz val="8"/>
            <rFont val="Tahoma"/>
            <family val="2"/>
          </rPr>
          <t xml:space="preserve"> This is the price required to recoup breakeven and and the desired profit entered above.</t>
        </r>
      </text>
    </comment>
    <comment ref="I67" authorId="0">
      <text>
        <r>
          <rPr>
            <b/>
            <sz val="8"/>
            <rFont val="Tahoma"/>
            <family val="2"/>
          </rPr>
          <t xml:space="preserve"> Breakeven market value to achieve profit margin</t>
        </r>
      </text>
    </comment>
  </commentList>
</comments>
</file>

<file path=xl/sharedStrings.xml><?xml version="1.0" encoding="utf-8"?>
<sst xmlns="http://schemas.openxmlformats.org/spreadsheetml/2006/main" count="228" uniqueCount="109">
  <si>
    <t>PURCHASE DATE (MM/DD/YY):</t>
  </si>
  <si>
    <t>INBOUND FREIGHT, $/HD:</t>
  </si>
  <si>
    <t>PURCHASE WEIGHT, LBS/HD:</t>
  </si>
  <si>
    <t>TOTAL COST DELIVERED, $/HD:</t>
  </si>
  <si>
    <t>PURCHASE PRICE, $/CWT:</t>
  </si>
  <si>
    <t>INBOUND SHRINK, %:</t>
  </si>
  <si>
    <t>PURCHASE PRICE, $/HD:</t>
  </si>
  <si>
    <t>ARRIVAL WEIGHT, LBS/HD:</t>
  </si>
  <si>
    <t xml:space="preserve">DAYS: </t>
  </si>
  <si>
    <t>DATE OUT:</t>
  </si>
  <si>
    <t>MEDICAL COSTS, $/HD:</t>
  </si>
  <si>
    <t>DAILY GAIN, LB/DAY:</t>
  </si>
  <si>
    <t>PAY-TO-PAY</t>
  </si>
  <si>
    <t>DEATH LOSS, %:</t>
  </si>
  <si>
    <t>TOTAL GAIN, LBS/HD:</t>
  </si>
  <si>
    <t>WEIGHT OUT, LBS/HD:</t>
  </si>
  <si>
    <t>LABOR, $/HD/DAY:</t>
  </si>
  <si>
    <t>EQUIPMENT COSTS, $/HEAD:</t>
  </si>
  <si>
    <t>FEED COSTS, $/HD:</t>
  </si>
  <si>
    <t>COSTS TO DATE:</t>
  </si>
  <si>
    <t xml:space="preserve">   HAY, LBS/HD/DAY:</t>
  </si>
  <si>
    <t>BREAKEVEN, $/CWT:</t>
  </si>
  <si>
    <t xml:space="preserve">   HAY, $/TON</t>
  </si>
  <si>
    <t xml:space="preserve">   MINERAL, LBS/HD/DAY:</t>
  </si>
  <si>
    <t xml:space="preserve">   MINERAL, $/TON:</t>
  </si>
  <si>
    <t>PASTURE COSTS, $/HEAD/MO:</t>
  </si>
  <si>
    <t>MANAGEMENT FEES, $/HD/MO:</t>
  </si>
  <si>
    <t>OTHER COSTS, $/HD:</t>
  </si>
  <si>
    <t>OPERATING INTEREST, %:</t>
  </si>
  <si>
    <t>PASTURE COSTS, $/HD:</t>
  </si>
  <si>
    <t xml:space="preserve">   $/HD/MONTH</t>
  </si>
  <si>
    <t xml:space="preserve">   $/CWT/MONTH</t>
  </si>
  <si>
    <t xml:space="preserve">   $/LB/GAIN</t>
  </si>
  <si>
    <t>TOTAL GRAZING COSTS, $/HD:</t>
  </si>
  <si>
    <t>MARKETING COSTS</t>
  </si>
  <si>
    <t>FUTURES/OPTIONS, $/HD:</t>
  </si>
  <si>
    <t>BEEF CHECKOFF, $/HD</t>
  </si>
  <si>
    <t>DELIVERY FREIGHT, $/HD:</t>
  </si>
  <si>
    <t>TOTAL MARKETING COSTS, $/HD:</t>
  </si>
  <si>
    <t>TOTAL DAYS:</t>
  </si>
  <si>
    <t>PAY WEIGHT, LBS/HD:</t>
  </si>
  <si>
    <t>COST SUMMARY</t>
  </si>
  <si>
    <t xml:space="preserve"> </t>
  </si>
  <si>
    <t>CATTLE PURCHASE COST:</t>
  </si>
  <si>
    <t>CATTLE INTEREST, %:</t>
  </si>
  <si>
    <t>BACKGROUNDING COST, $/HD:</t>
  </si>
  <si>
    <t xml:space="preserve">   ACCUMULATED INTEREST, $/HD:</t>
  </si>
  <si>
    <t>GRAZING COSTS, $/HD:</t>
  </si>
  <si>
    <t>MARKETING COSTS, $/HD:</t>
  </si>
  <si>
    <t>TOTAL COSTS, $/HEAD:</t>
  </si>
  <si>
    <t xml:space="preserve">   OPERATING + INTEREST</t>
  </si>
  <si>
    <t xml:space="preserve">   CATTLE + INTEREST</t>
  </si>
  <si>
    <t>LIVESTOCK PRICING INFORMATION</t>
  </si>
  <si>
    <t xml:space="preserve">CONTINUOUS PRICE/WEIGHT SCALE </t>
  </si>
  <si>
    <t>WEIGHT LIMIT --&gt;&gt;</t>
  </si>
  <si>
    <t>LB/HEAD</t>
  </si>
  <si>
    <t>VALUE OF GAIN --&gt;&gt;</t>
  </si>
  <si>
    <t>$/CWT</t>
  </si>
  <si>
    <t>BASE PRICE   --&gt;&gt;</t>
  </si>
  <si>
    <t>PRICE SLIDE  --&gt;&gt;</t>
  </si>
  <si>
    <t xml:space="preserve">  $/CWT</t>
  </si>
  <si>
    <t/>
  </si>
  <si>
    <t>&lt;-EXPECTED PRICE</t>
  </si>
  <si>
    <t xml:space="preserve">  OR FUTURES PLUS</t>
  </si>
  <si>
    <t xml:space="preserve">  OR MINUS BASIS</t>
  </si>
  <si>
    <t>PROFIT SUMMARY</t>
  </si>
  <si>
    <t>SALE PRICE, $/CWT:</t>
  </si>
  <si>
    <t>GROSS INCOME, $/HD:</t>
  </si>
  <si>
    <t>TOTAL COSTS, $/HD:</t>
  </si>
  <si>
    <t>NET RETURNS, $/HD:</t>
  </si>
  <si>
    <t>STAGE 1</t>
  </si>
  <si>
    <t xml:space="preserve">PURCHASE AND DELIVERY </t>
  </si>
  <si>
    <t>PERIOD COSTS, $/HD:</t>
  </si>
  <si>
    <t xml:space="preserve">   SUPPLEMENT/RATION, LBS/HD/DAY:</t>
  </si>
  <si>
    <t>SUBTOTAL PERIOD COSTS, $/HD:</t>
  </si>
  <si>
    <t>TOTAL COST, $/HD:</t>
  </si>
  <si>
    <t>STAGE 2</t>
  </si>
  <si>
    <t>BREAKEVENS</t>
  </si>
  <si>
    <t>PERFORMANCE SUMMARY, Stage 2</t>
  </si>
  <si>
    <t>PERFORMANCE SUMMARY, Stage 1</t>
  </si>
  <si>
    <t>Preconditioning</t>
  </si>
  <si>
    <t>DESIRED PROFIT, $/HD:</t>
  </si>
  <si>
    <t xml:space="preserve">   DAYS FED:</t>
  </si>
  <si>
    <t xml:space="preserve">   COST/ $/HD:</t>
  </si>
  <si>
    <t xml:space="preserve"> WEIGHT LIMIT WITH PRICE SLIDE</t>
  </si>
  <si>
    <t>BRKEVN w/ PRFIT, $/CWT</t>
  </si>
  <si>
    <t xml:space="preserve">   SUPPLEMENT/RATIONS, $/TON:</t>
  </si>
  <si>
    <t>PAY WT</t>
  </si>
  <si>
    <t>PAY WEIGHT, LBS:</t>
  </si>
  <si>
    <t xml:space="preserve">STAGE </t>
  </si>
  <si>
    <t>Feedyard</t>
  </si>
  <si>
    <t>TRANSFER PRICE, $/CWT:</t>
  </si>
  <si>
    <t>TRANSFER PRICE, $/HD:</t>
  </si>
  <si>
    <t>TRANSFER WEIGHT, LBS/HD:</t>
  </si>
  <si>
    <t xml:space="preserve">   RATION, LBS/HD/DAY:</t>
  </si>
  <si>
    <t>TRANSFER</t>
  </si>
  <si>
    <t xml:space="preserve"> DATE (MM/DD/YY):</t>
  </si>
  <si>
    <t>PERFORMANCE SUMMARY</t>
  </si>
  <si>
    <t>FEED:GAIN</t>
  </si>
  <si>
    <t xml:space="preserve">   RATIONS, $/TON:</t>
  </si>
  <si>
    <t>TOTAL FEEDING COSTS, $/HD:</t>
  </si>
  <si>
    <t>FEEDING COSTS, $/HD:</t>
  </si>
  <si>
    <t>Grazing</t>
  </si>
  <si>
    <t>The following worksheets are budget templates for stocker/feeder cattle.</t>
  </si>
  <si>
    <t>The first worksheet is for the stocker phase.  There are two sections - one for the preconditioning period on the frontend of the ownership period. This is usually the first 28-42 days and is time when a significant amount of sunk costs occur in the stocker program.  This is the reason for the breakout on the budget.
The second section of this worksheet is for the grazing period.
This worksheet can also be used for confined backgrounding programs. Simply use the "Grazing" section to enter the costs for the confined backgrounding program.</t>
  </si>
  <si>
    <t>The second worksheet is for retaining ownership of the cattle into a finishing program. The initial costs of the cattle are costs carried forward from the preconditioning/grazing worksheet.</t>
  </si>
  <si>
    <t>Required entries are the fields that are YELLOW.  All other fields are locked and values are auto-calculated.</t>
  </si>
  <si>
    <t>Constructed by : FT McCollum III, PhD, PAS-ACAN</t>
  </si>
  <si>
    <t>**These sheets are for projection purposes.  Results are not guarantees.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</si>
</sst>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numFmt numFmtId="166" formatCode="&quot;$&quot;#,##0.00"/>
  </numFmts>
  <fonts count="54">
    <font>
      <sz val="10"/>
      <name val="Arial"/>
      <family val="0"/>
    </font>
    <font>
      <b/>
      <sz val="10"/>
      <name val="Arial"/>
      <family val="0"/>
    </font>
    <font>
      <i/>
      <sz val="10"/>
      <name val="Arial"/>
      <family val="0"/>
    </font>
    <font>
      <b/>
      <i/>
      <sz val="10"/>
      <name val="Arial"/>
      <family val="0"/>
    </font>
    <font>
      <sz val="10"/>
      <color indexed="48"/>
      <name val="Arial"/>
      <family val="2"/>
    </font>
    <font>
      <b/>
      <sz val="12"/>
      <name val="Arial"/>
      <family val="2"/>
    </font>
    <font>
      <sz val="10"/>
      <color indexed="12"/>
      <name val="Arial"/>
      <family val="2"/>
    </font>
    <font>
      <b/>
      <i/>
      <sz val="10"/>
      <color indexed="9"/>
      <name val="Arial"/>
      <family val="2"/>
    </font>
    <font>
      <sz val="10"/>
      <color indexed="56"/>
      <name val="Arial"/>
      <family val="2"/>
    </font>
    <font>
      <sz val="8"/>
      <name val="Tahoma"/>
      <family val="2"/>
    </font>
    <font>
      <b/>
      <sz val="8"/>
      <name val="Tahoma"/>
      <family val="2"/>
    </font>
    <font>
      <sz val="10"/>
      <color indexed="16"/>
      <name val="Arial"/>
      <family val="2"/>
    </font>
    <font>
      <sz val="10"/>
      <color indexed="62"/>
      <name val="Arial"/>
      <family val="2"/>
    </font>
    <font>
      <sz val="10"/>
      <color indexed="57"/>
      <name val="Arial"/>
      <family val="2"/>
    </font>
    <font>
      <sz val="9"/>
      <name val="Tahoma"/>
      <family val="2"/>
    </font>
    <font>
      <b/>
      <sz val="9"/>
      <name val="Tahoma"/>
      <family val="2"/>
    </font>
    <font>
      <sz val="11"/>
      <color indexed="21"/>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21"/>
      <name val="Calibri"/>
      <family val="2"/>
    </font>
    <font>
      <sz val="10"/>
      <color indexed="21"/>
      <name val="Arial"/>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theme="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2"/>
        <bgColor indexed="64"/>
      </patternFill>
    </fill>
    <fill>
      <patternFill patternType="solid">
        <fgColor indexed="47"/>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medium"/>
      <top style="thin"/>
      <bottom style="medium"/>
    </border>
    <border>
      <left style="medium"/>
      <right style="medium"/>
      <top style="medium"/>
      <bottom style="medium"/>
    </border>
    <border>
      <left>
        <color indexed="63"/>
      </left>
      <right style="thin"/>
      <top>
        <color indexed="63"/>
      </top>
      <bottom>
        <color indexed="63"/>
      </bottom>
    </border>
    <border>
      <left style="medium"/>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6">
    <xf numFmtId="0" fontId="0" fillId="0" borderId="0" xfId="0" applyAlignment="1">
      <alignment/>
    </xf>
    <xf numFmtId="0" fontId="0" fillId="0" borderId="0" xfId="0" applyAlignment="1" quotePrefix="1">
      <alignment horizontal="left"/>
    </xf>
    <xf numFmtId="0" fontId="0" fillId="0" borderId="0" xfId="0" applyAlignment="1" applyProtection="1">
      <alignment/>
      <protection/>
    </xf>
    <xf numFmtId="7" fontId="4" fillId="0" borderId="0" xfId="0" applyNumberFormat="1" applyFont="1" applyAlignment="1" applyProtection="1">
      <alignment/>
      <protection locked="0"/>
    </xf>
    <xf numFmtId="7" fontId="1" fillId="0" borderId="0" xfId="0" applyNumberFormat="1" applyFont="1" applyAlignment="1" applyProtection="1">
      <alignment/>
      <protection/>
    </xf>
    <xf numFmtId="7" fontId="0" fillId="0" borderId="0" xfId="0" applyNumberFormat="1" applyAlignment="1">
      <alignment/>
    </xf>
    <xf numFmtId="0" fontId="5" fillId="0" borderId="0" xfId="0" applyFont="1" applyAlignment="1">
      <alignment/>
    </xf>
    <xf numFmtId="0" fontId="4" fillId="0" borderId="0" xfId="0" applyFont="1" applyAlignment="1" applyProtection="1">
      <alignment/>
      <protection locked="0"/>
    </xf>
    <xf numFmtId="0" fontId="0" fillId="0" borderId="0" xfId="0" applyAlignment="1" applyProtection="1">
      <alignment/>
      <protection locked="0"/>
    </xf>
    <xf numFmtId="0" fontId="0" fillId="0" borderId="0" xfId="0" applyAlignment="1">
      <alignment horizontal="left"/>
    </xf>
    <xf numFmtId="0" fontId="1" fillId="0" borderId="0" xfId="0" applyFont="1" applyAlignment="1">
      <alignment/>
    </xf>
    <xf numFmtId="7" fontId="1" fillId="0" borderId="0" xfId="0" applyNumberFormat="1" applyFont="1" applyAlignment="1">
      <alignment/>
    </xf>
    <xf numFmtId="7" fontId="4" fillId="0" borderId="0" xfId="0" applyNumberFormat="1" applyFont="1" applyAlignment="1" applyProtection="1">
      <alignment/>
      <protection/>
    </xf>
    <xf numFmtId="0" fontId="1" fillId="0" borderId="0" xfId="0" applyFont="1" applyAlignment="1" quotePrefix="1">
      <alignment horizontal="left"/>
    </xf>
    <xf numFmtId="0" fontId="0" fillId="0" borderId="0" xfId="0" applyAlignment="1" applyProtection="1">
      <alignment horizontal="left"/>
      <protection/>
    </xf>
    <xf numFmtId="7" fontId="0" fillId="0" borderId="0" xfId="0" applyNumberFormat="1" applyAlignment="1" applyProtection="1">
      <alignment horizontal="left"/>
      <protection/>
    </xf>
    <xf numFmtId="0" fontId="0" fillId="0" borderId="0" xfId="0" applyAlignment="1" applyProtection="1">
      <alignment horizontal="right"/>
      <protection/>
    </xf>
    <xf numFmtId="165" fontId="0" fillId="0" borderId="0" xfId="0" applyNumberFormat="1" applyAlignment="1" applyProtection="1">
      <alignment/>
      <protection/>
    </xf>
    <xf numFmtId="7" fontId="0" fillId="0" borderId="0" xfId="0" applyNumberFormat="1" applyAlignment="1" applyProtection="1">
      <alignment/>
      <protection/>
    </xf>
    <xf numFmtId="0" fontId="0" fillId="0" borderId="10" xfId="0" applyBorder="1" applyAlignment="1">
      <alignment/>
    </xf>
    <xf numFmtId="0" fontId="0" fillId="0" borderId="11" xfId="0" applyBorder="1" applyAlignment="1">
      <alignment/>
    </xf>
    <xf numFmtId="14" fontId="0" fillId="0" borderId="11" xfId="0" applyNumberFormat="1" applyBorder="1" applyAlignment="1" applyProtection="1">
      <alignment/>
      <protection/>
    </xf>
    <xf numFmtId="0" fontId="0" fillId="0" borderId="12" xfId="0" applyBorder="1" applyAlignment="1" applyProtection="1">
      <alignment/>
      <protection/>
    </xf>
    <xf numFmtId="0" fontId="0" fillId="0" borderId="13" xfId="0" applyBorder="1" applyAlignment="1">
      <alignment/>
    </xf>
    <xf numFmtId="0" fontId="0" fillId="0" borderId="0" xfId="0" applyBorder="1" applyAlignment="1">
      <alignment/>
    </xf>
    <xf numFmtId="0" fontId="0" fillId="0" borderId="14" xfId="0" applyBorder="1" applyAlignment="1" applyProtection="1">
      <alignment/>
      <protection/>
    </xf>
    <xf numFmtId="0" fontId="0" fillId="0" borderId="0" xfId="0" applyBorder="1" applyAlignment="1" applyProtection="1">
      <alignment/>
      <protection/>
    </xf>
    <xf numFmtId="0" fontId="0" fillId="0" borderId="15" xfId="0" applyBorder="1" applyAlignment="1">
      <alignment/>
    </xf>
    <xf numFmtId="0" fontId="0" fillId="0" borderId="16" xfId="0" applyBorder="1" applyAlignment="1">
      <alignment/>
    </xf>
    <xf numFmtId="0" fontId="0" fillId="0" borderId="16" xfId="0" applyBorder="1" applyAlignment="1" applyProtection="1">
      <alignment/>
      <protection/>
    </xf>
    <xf numFmtId="0" fontId="0" fillId="0" borderId="17" xfId="0" applyBorder="1" applyAlignment="1" applyProtection="1">
      <alignment/>
      <protection/>
    </xf>
    <xf numFmtId="0" fontId="0" fillId="0" borderId="14" xfId="0" applyBorder="1" applyAlignment="1">
      <alignment/>
    </xf>
    <xf numFmtId="8" fontId="0" fillId="0" borderId="0" xfId="0" applyNumberFormat="1" applyBorder="1" applyAlignment="1">
      <alignment/>
    </xf>
    <xf numFmtId="0" fontId="0" fillId="0" borderId="17" xfId="0" applyBorder="1" applyAlignment="1">
      <alignment/>
    </xf>
    <xf numFmtId="0" fontId="0" fillId="0" borderId="12" xfId="0" applyBorder="1" applyAlignment="1">
      <alignment/>
    </xf>
    <xf numFmtId="1" fontId="0" fillId="0" borderId="14" xfId="0" applyNumberFormat="1" applyBorder="1" applyAlignment="1">
      <alignment/>
    </xf>
    <xf numFmtId="164" fontId="0" fillId="0" borderId="14" xfId="0" applyNumberFormat="1" applyBorder="1" applyAlignment="1">
      <alignment/>
    </xf>
    <xf numFmtId="0" fontId="8" fillId="33" borderId="18" xfId="0" applyFont="1" applyFill="1" applyBorder="1" applyAlignment="1" applyProtection="1">
      <alignment/>
      <protection locked="0"/>
    </xf>
    <xf numFmtId="7" fontId="8" fillId="33" borderId="18" xfId="0" applyNumberFormat="1" applyFont="1" applyFill="1" applyBorder="1" applyAlignment="1" applyProtection="1">
      <alignment/>
      <protection locked="0"/>
    </xf>
    <xf numFmtId="2" fontId="8" fillId="33" borderId="18" xfId="0" applyNumberFormat="1" applyFont="1" applyFill="1" applyBorder="1" applyAlignment="1" applyProtection="1">
      <alignment/>
      <protection locked="0"/>
    </xf>
    <xf numFmtId="1" fontId="8" fillId="33" borderId="18" xfId="0" applyNumberFormat="1" applyFont="1" applyFill="1" applyBorder="1" applyAlignment="1" applyProtection="1">
      <alignment/>
      <protection locked="0"/>
    </xf>
    <xf numFmtId="14" fontId="8" fillId="33" borderId="18" xfId="0" applyNumberFormat="1" applyFont="1" applyFill="1" applyBorder="1" applyAlignment="1" applyProtection="1">
      <alignment/>
      <protection locked="0"/>
    </xf>
    <xf numFmtId="8" fontId="0" fillId="34" borderId="18" xfId="0" applyNumberFormat="1" applyFill="1" applyBorder="1" applyAlignment="1">
      <alignment/>
    </xf>
    <xf numFmtId="0" fontId="0" fillId="0" borderId="0" xfId="0" applyAlignment="1">
      <alignment/>
    </xf>
    <xf numFmtId="0" fontId="8" fillId="33" borderId="19" xfId="0" applyFont="1" applyFill="1" applyBorder="1" applyAlignment="1" applyProtection="1">
      <alignment/>
      <protection locked="0"/>
    </xf>
    <xf numFmtId="0" fontId="7" fillId="35" borderId="20" xfId="0" applyFont="1" applyFill="1" applyBorder="1" applyAlignment="1">
      <alignment horizontal="left"/>
    </xf>
    <xf numFmtId="0" fontId="7" fillId="35" borderId="20" xfId="0" applyFont="1" applyFill="1" applyBorder="1" applyAlignment="1">
      <alignment/>
    </xf>
    <xf numFmtId="7" fontId="6" fillId="33" borderId="18" xfId="0" applyNumberFormat="1" applyFont="1" applyFill="1" applyBorder="1" applyAlignment="1" applyProtection="1">
      <alignment/>
      <protection locked="0"/>
    </xf>
    <xf numFmtId="7" fontId="0" fillId="34" borderId="21" xfId="0" applyNumberFormat="1" applyFill="1" applyBorder="1" applyAlignment="1">
      <alignment/>
    </xf>
    <xf numFmtId="166" fontId="8" fillId="33" borderId="21" xfId="0" applyNumberFormat="1" applyFont="1" applyFill="1" applyBorder="1" applyAlignment="1" applyProtection="1">
      <alignment/>
      <protection locked="0"/>
    </xf>
    <xf numFmtId="7" fontId="0" fillId="34" borderId="22" xfId="0" applyNumberFormat="1" applyFill="1" applyBorder="1" applyAlignment="1">
      <alignment/>
    </xf>
    <xf numFmtId="1" fontId="0" fillId="0" borderId="0" xfId="0" applyNumberFormat="1" applyAlignment="1" applyProtection="1">
      <alignment horizontal="center"/>
      <protection/>
    </xf>
    <xf numFmtId="7" fontId="0" fillId="0" borderId="0" xfId="0" applyNumberFormat="1" applyAlignment="1" applyProtection="1">
      <alignment horizontal="center"/>
      <protection/>
    </xf>
    <xf numFmtId="0" fontId="0" fillId="0" borderId="0" xfId="0" applyFill="1" applyAlignment="1">
      <alignment/>
    </xf>
    <xf numFmtId="7" fontId="0" fillId="34" borderId="23" xfId="0" applyNumberFormat="1" applyFill="1" applyBorder="1" applyAlignment="1" applyProtection="1">
      <alignment horizontal="center"/>
      <protection/>
    </xf>
    <xf numFmtId="0" fontId="0" fillId="0" borderId="0" xfId="0" applyFill="1" applyBorder="1" applyAlignment="1" applyProtection="1">
      <alignment/>
      <protection/>
    </xf>
    <xf numFmtId="0" fontId="11" fillId="0" borderId="0" xfId="0" applyFont="1" applyAlignment="1" quotePrefix="1">
      <alignment horizontal="left"/>
    </xf>
    <xf numFmtId="0" fontId="11" fillId="0" borderId="0" xfId="0" applyFont="1" applyAlignment="1">
      <alignment/>
    </xf>
    <xf numFmtId="0" fontId="11" fillId="0" borderId="0" xfId="0" applyFont="1" applyAlignment="1">
      <alignment horizontal="left"/>
    </xf>
    <xf numFmtId="0" fontId="12" fillId="0" borderId="0" xfId="0" applyFont="1" applyAlignment="1" quotePrefix="1">
      <alignment horizontal="left"/>
    </xf>
    <xf numFmtId="0" fontId="12" fillId="0" borderId="0" xfId="0" applyFont="1" applyAlignment="1">
      <alignment/>
    </xf>
    <xf numFmtId="0" fontId="12" fillId="0" borderId="0" xfId="0" applyFont="1" applyAlignment="1">
      <alignment horizontal="left"/>
    </xf>
    <xf numFmtId="0" fontId="13" fillId="0" borderId="0" xfId="0" applyFont="1" applyAlignment="1" quotePrefix="1">
      <alignment horizontal="left"/>
    </xf>
    <xf numFmtId="0" fontId="13" fillId="0" borderId="0" xfId="0" applyFont="1" applyAlignment="1">
      <alignment/>
    </xf>
    <xf numFmtId="0" fontId="13" fillId="0" borderId="0" xfId="0" applyFont="1" applyAlignment="1">
      <alignment horizontal="left"/>
    </xf>
    <xf numFmtId="0" fontId="7" fillId="35" borderId="20" xfId="0" applyFont="1" applyFill="1" applyBorder="1" applyAlignment="1" applyProtection="1">
      <alignment horizontal="left"/>
      <protection/>
    </xf>
    <xf numFmtId="14" fontId="51" fillId="0" borderId="0" xfId="0" applyNumberFormat="1" applyFont="1" applyFill="1" applyBorder="1" applyAlignment="1" applyProtection="1">
      <alignment/>
      <protection locked="0"/>
    </xf>
    <xf numFmtId="0" fontId="51" fillId="0" borderId="0" xfId="0" applyFont="1" applyFill="1" applyBorder="1" applyAlignment="1" applyProtection="1">
      <alignment/>
      <protection locked="0"/>
    </xf>
    <xf numFmtId="7" fontId="51" fillId="0" borderId="0" xfId="0" applyNumberFormat="1" applyFont="1" applyFill="1" applyBorder="1" applyAlignment="1" applyProtection="1">
      <alignment/>
      <protection locked="0"/>
    </xf>
    <xf numFmtId="0" fontId="0" fillId="0" borderId="15" xfId="0" applyFont="1" applyFill="1" applyBorder="1" applyAlignment="1">
      <alignment/>
    </xf>
    <xf numFmtId="2" fontId="0" fillId="0" borderId="16" xfId="0" applyNumberFormat="1" applyBorder="1" applyAlignment="1">
      <alignment/>
    </xf>
    <xf numFmtId="0" fontId="0" fillId="0" borderId="0" xfId="0" applyFont="1" applyAlignment="1">
      <alignment/>
    </xf>
    <xf numFmtId="0" fontId="52" fillId="0" borderId="0" xfId="0" applyFont="1" applyAlignment="1">
      <alignment/>
    </xf>
    <xf numFmtId="7" fontId="52" fillId="0" borderId="0" xfId="0" applyNumberFormat="1" applyFont="1" applyAlignment="1">
      <alignment/>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0" fillId="0" borderId="13" xfId="0" applyBorder="1" applyAlignment="1">
      <alignment/>
    </xf>
    <xf numFmtId="0" fontId="0" fillId="0" borderId="24" xfId="0" applyBorder="1" applyAlignment="1">
      <alignment/>
    </xf>
    <xf numFmtId="0" fontId="0" fillId="34" borderId="25" xfId="0" applyFill="1" applyBorder="1" applyAlignment="1">
      <alignment/>
    </xf>
    <xf numFmtId="0" fontId="0" fillId="0" borderId="26" xfId="0" applyBorder="1" applyAlignment="1">
      <alignment/>
    </xf>
    <xf numFmtId="0" fontId="1" fillId="34" borderId="27" xfId="0" applyFont="1" applyFill="1" applyBorder="1" applyAlignment="1" applyProtection="1">
      <alignment horizontal="left"/>
      <protection/>
    </xf>
    <xf numFmtId="0" fontId="0" fillId="34" borderId="28" xfId="0" applyFill="1" applyBorder="1" applyAlignment="1">
      <alignment/>
    </xf>
    <xf numFmtId="0" fontId="0" fillId="34" borderId="29" xfId="0" applyFill="1" applyBorder="1" applyAlignment="1">
      <alignment/>
    </xf>
    <xf numFmtId="0" fontId="7" fillId="35" borderId="20" xfId="0" applyFont="1" applyFill="1" applyBorder="1" applyAlignment="1" applyProtection="1">
      <alignment horizontal="left"/>
      <protection/>
    </xf>
    <xf numFmtId="0" fontId="0" fillId="0" borderId="30" xfId="0" applyBorder="1" applyAlignment="1">
      <alignment/>
    </xf>
    <xf numFmtId="0" fontId="0" fillId="0" borderId="31" xfId="0" applyBorder="1" applyAlignment="1">
      <alignment/>
    </xf>
    <xf numFmtId="0" fontId="3" fillId="36" borderId="30" xfId="0" applyFont="1" applyFill="1" applyBorder="1" applyAlignment="1">
      <alignment/>
    </xf>
    <xf numFmtId="0" fontId="3" fillId="36" borderId="31" xfId="0" applyFont="1" applyFill="1" applyBorder="1" applyAlignment="1">
      <alignment/>
    </xf>
    <xf numFmtId="0" fontId="7" fillId="35" borderId="20" xfId="0" applyFont="1" applyFill="1" applyBorder="1" applyAlignment="1">
      <alignment/>
    </xf>
    <xf numFmtId="0" fontId="0" fillId="0" borderId="0" xfId="0" applyAlignment="1">
      <alignment/>
    </xf>
    <xf numFmtId="0" fontId="0" fillId="0" borderId="0" xfId="0" applyAlignment="1" applyProtection="1">
      <alignment/>
      <protection/>
    </xf>
    <xf numFmtId="0" fontId="0" fillId="0" borderId="10" xfId="0" applyBorder="1" applyAlignment="1">
      <alignment/>
    </xf>
    <xf numFmtId="0" fontId="0" fillId="0" borderId="11" xfId="0" applyBorder="1" applyAlignment="1">
      <alignment/>
    </xf>
    <xf numFmtId="0" fontId="3" fillId="34" borderId="20" xfId="0" applyFont="1" applyFill="1" applyBorder="1" applyAlignment="1">
      <alignment/>
    </xf>
    <xf numFmtId="0" fontId="3" fillId="36" borderId="30" xfId="0" applyFont="1" applyFill="1" applyBorder="1" applyAlignment="1" applyProtection="1">
      <alignment/>
      <protection locked="0"/>
    </xf>
    <xf numFmtId="0" fontId="3" fillId="36" borderId="31" xfId="0" applyFont="1" applyFill="1" applyBorder="1" applyAlignment="1" applyProtection="1">
      <alignment/>
      <protection locked="0"/>
    </xf>
    <xf numFmtId="0" fontId="0" fillId="0" borderId="0" xfId="0" applyAlignment="1" quotePrefix="1">
      <alignment horizontal="left"/>
    </xf>
    <xf numFmtId="0" fontId="7" fillId="35" borderId="27" xfId="0" applyFont="1" applyFill="1" applyBorder="1" applyAlignment="1" applyProtection="1">
      <alignment/>
      <protection/>
    </xf>
    <xf numFmtId="0" fontId="1" fillId="35" borderId="28" xfId="0" applyFont="1" applyFill="1" applyBorder="1" applyAlignment="1" applyProtection="1">
      <alignment/>
      <protection/>
    </xf>
    <xf numFmtId="0" fontId="1" fillId="35" borderId="29" xfId="0" applyFont="1" applyFill="1" applyBorder="1" applyAlignment="1" applyProtection="1">
      <alignment/>
      <protection/>
    </xf>
    <xf numFmtId="0" fontId="0" fillId="0" borderId="32" xfId="0" applyBorder="1" applyAlignment="1" quotePrefix="1">
      <alignment horizontal="left"/>
    </xf>
    <xf numFmtId="0" fontId="0" fillId="0" borderId="32" xfId="0" applyBorder="1" applyAlignment="1">
      <alignment/>
    </xf>
    <xf numFmtId="0" fontId="0" fillId="0" borderId="33" xfId="0" applyBorder="1" applyAlignment="1">
      <alignment/>
    </xf>
    <xf numFmtId="0" fontId="0" fillId="0" borderId="0" xfId="0" applyAlignment="1" applyProtection="1" quotePrefix="1">
      <alignment horizontal="left"/>
      <protection/>
    </xf>
    <xf numFmtId="0" fontId="1" fillId="0" borderId="0" xfId="0" applyFont="1" applyAlignment="1" applyProtection="1" quotePrefix="1">
      <alignment horizontal="left"/>
      <protection/>
    </xf>
    <xf numFmtId="0" fontId="0" fillId="0" borderId="24" xfId="0" applyBorder="1" applyAlignment="1" applyProtection="1">
      <alignment/>
      <protection/>
    </xf>
    <xf numFmtId="0" fontId="0" fillId="34" borderId="20" xfId="0" applyFill="1" applyBorder="1" applyAlignment="1" applyProtection="1">
      <alignment/>
      <protection/>
    </xf>
    <xf numFmtId="0" fontId="0" fillId="0" borderId="11" xfId="0" applyBorder="1" applyAlignment="1" applyProtection="1">
      <alignment/>
      <protection/>
    </xf>
    <xf numFmtId="0" fontId="0" fillId="0" borderId="16" xfId="0" applyBorder="1" applyAlignment="1" applyProtection="1">
      <alignment/>
      <protection/>
    </xf>
    <xf numFmtId="0" fontId="7" fillId="35" borderId="20" xfId="0" applyFont="1" applyFill="1" applyBorder="1" applyAlignment="1" applyProtection="1">
      <alignment/>
      <protection/>
    </xf>
    <xf numFmtId="0" fontId="0" fillId="35" borderId="31" xfId="0" applyFill="1" applyBorder="1" applyAlignment="1">
      <alignment/>
    </xf>
    <xf numFmtId="0" fontId="0" fillId="34" borderId="27" xfId="0" applyFill="1" applyBorder="1" applyAlignment="1">
      <alignment/>
    </xf>
    <xf numFmtId="0" fontId="0" fillId="0" borderId="34" xfId="0" applyBorder="1" applyAlignment="1">
      <alignment/>
    </xf>
    <xf numFmtId="0" fontId="0" fillId="0" borderId="35" xfId="0" applyBorder="1" applyAlignment="1">
      <alignment/>
    </xf>
    <xf numFmtId="0" fontId="0" fillId="34" borderId="36" xfId="0" applyFill="1" applyBorder="1" applyAlignment="1">
      <alignment/>
    </xf>
    <xf numFmtId="0" fontId="0" fillId="0" borderId="29" xfId="0" applyBorder="1" applyAlignment="1">
      <alignment/>
    </xf>
    <xf numFmtId="0" fontId="0" fillId="0" borderId="13" xfId="0" applyBorder="1" applyAlignment="1" quotePrefix="1">
      <alignment horizontal="left"/>
    </xf>
    <xf numFmtId="0" fontId="3" fillId="34" borderId="31" xfId="0" applyFont="1" applyFill="1" applyBorder="1" applyAlignment="1">
      <alignment/>
    </xf>
    <xf numFmtId="0" fontId="0" fillId="0" borderId="24" xfId="0" applyBorder="1" applyAlignment="1" applyProtection="1" quotePrefix="1">
      <alignment horizontal="left"/>
      <protection/>
    </xf>
    <xf numFmtId="0" fontId="0" fillId="0" borderId="0" xfId="0" applyFont="1" applyAlignment="1" quotePrefix="1">
      <alignment horizontal="left"/>
    </xf>
    <xf numFmtId="0" fontId="3" fillId="36" borderId="30" xfId="0" applyFont="1" applyFill="1" applyBorder="1" applyAlignment="1" applyProtection="1">
      <alignment/>
      <protection/>
    </xf>
    <xf numFmtId="0" fontId="3" fillId="36" borderId="31" xfId="0" applyFont="1" applyFill="1" applyBorder="1" applyAlignment="1" applyProtection="1">
      <alignment/>
      <protection/>
    </xf>
    <xf numFmtId="0" fontId="0" fillId="0" borderId="32" xfId="0" applyFont="1" applyBorder="1" applyAlignment="1" quotePrefix="1">
      <alignment horizontal="left"/>
    </xf>
    <xf numFmtId="0" fontId="0" fillId="0" borderId="0" xfId="0" applyBorder="1" applyAlignment="1">
      <alignment/>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H25"/>
  <sheetViews>
    <sheetView zoomScalePageLayoutView="0" workbookViewId="0" topLeftCell="A1">
      <selection activeCell="H28" sqref="H28"/>
    </sheetView>
  </sheetViews>
  <sheetFormatPr defaultColWidth="9.140625" defaultRowHeight="12.75"/>
  <sheetData>
    <row r="2" ht="12.75">
      <c r="A2" s="71" t="s">
        <v>103</v>
      </c>
    </row>
    <row r="4" spans="1:8" ht="12.75">
      <c r="A4" s="74" t="s">
        <v>104</v>
      </c>
      <c r="B4" s="75"/>
      <c r="C4" s="75"/>
      <c r="D4" s="75"/>
      <c r="E4" s="75"/>
      <c r="F4" s="75"/>
      <c r="G4" s="75"/>
      <c r="H4" s="75"/>
    </row>
    <row r="5" spans="1:8" ht="12.75">
      <c r="A5" s="75"/>
      <c r="B5" s="75"/>
      <c r="C5" s="75"/>
      <c r="D5" s="75"/>
      <c r="E5" s="75"/>
      <c r="F5" s="75"/>
      <c r="G5" s="75"/>
      <c r="H5" s="75"/>
    </row>
    <row r="6" spans="1:8" ht="12.75">
      <c r="A6" s="75"/>
      <c r="B6" s="75"/>
      <c r="C6" s="75"/>
      <c r="D6" s="75"/>
      <c r="E6" s="75"/>
      <c r="F6" s="75"/>
      <c r="G6" s="75"/>
      <c r="H6" s="75"/>
    </row>
    <row r="7" spans="1:8" ht="12.75">
      <c r="A7" s="75"/>
      <c r="B7" s="75"/>
      <c r="C7" s="75"/>
      <c r="D7" s="75"/>
      <c r="E7" s="75"/>
      <c r="F7" s="75"/>
      <c r="G7" s="75"/>
      <c r="H7" s="75"/>
    </row>
    <row r="8" spans="1:8" ht="12.75">
      <c r="A8" s="75"/>
      <c r="B8" s="75"/>
      <c r="C8" s="75"/>
      <c r="D8" s="75"/>
      <c r="E8" s="75"/>
      <c r="F8" s="75"/>
      <c r="G8" s="75"/>
      <c r="H8" s="75"/>
    </row>
    <row r="9" spans="1:8" ht="12.75">
      <c r="A9" s="75"/>
      <c r="B9" s="75"/>
      <c r="C9" s="75"/>
      <c r="D9" s="75"/>
      <c r="E9" s="75"/>
      <c r="F9" s="75"/>
      <c r="G9" s="75"/>
      <c r="H9" s="75"/>
    </row>
    <row r="10" spans="1:8" ht="12.75">
      <c r="A10" s="75"/>
      <c r="B10" s="75"/>
      <c r="C10" s="75"/>
      <c r="D10" s="75"/>
      <c r="E10" s="75"/>
      <c r="F10" s="75"/>
      <c r="G10" s="75"/>
      <c r="H10" s="75"/>
    </row>
    <row r="11" spans="1:8" ht="12.75">
      <c r="A11" s="76"/>
      <c r="B11" s="76"/>
      <c r="C11" s="76"/>
      <c r="D11" s="76"/>
      <c r="E11" s="76"/>
      <c r="F11" s="76"/>
      <c r="G11" s="76"/>
      <c r="H11" s="76"/>
    </row>
    <row r="12" spans="1:8" ht="12.75">
      <c r="A12" s="76"/>
      <c r="B12" s="76"/>
      <c r="C12" s="76"/>
      <c r="D12" s="76"/>
      <c r="E12" s="76"/>
      <c r="F12" s="76"/>
      <c r="G12" s="76"/>
      <c r="H12" s="76"/>
    </row>
    <row r="13" spans="1:8" ht="12.75">
      <c r="A13" s="76"/>
      <c r="B13" s="76"/>
      <c r="C13" s="76"/>
      <c r="D13" s="76"/>
      <c r="E13" s="76"/>
      <c r="F13" s="76"/>
      <c r="G13" s="76"/>
      <c r="H13" s="76"/>
    </row>
    <row r="15" spans="1:8" ht="12.75">
      <c r="A15" s="74" t="s">
        <v>105</v>
      </c>
      <c r="B15" s="75"/>
      <c r="C15" s="75"/>
      <c r="D15" s="75"/>
      <c r="E15" s="75"/>
      <c r="F15" s="75"/>
      <c r="G15" s="75"/>
      <c r="H15" s="75"/>
    </row>
    <row r="16" spans="1:8" ht="12.75">
      <c r="A16" s="75"/>
      <c r="B16" s="75"/>
      <c r="C16" s="75"/>
      <c r="D16" s="75"/>
      <c r="E16" s="75"/>
      <c r="F16" s="75"/>
      <c r="G16" s="75"/>
      <c r="H16" s="75"/>
    </row>
    <row r="17" spans="1:8" ht="12.75">
      <c r="A17" s="75"/>
      <c r="B17" s="75"/>
      <c r="C17" s="75"/>
      <c r="D17" s="75"/>
      <c r="E17" s="75"/>
      <c r="F17" s="75"/>
      <c r="G17" s="75"/>
      <c r="H17" s="75"/>
    </row>
    <row r="19" spans="1:8" ht="12.75">
      <c r="A19" s="74" t="s">
        <v>106</v>
      </c>
      <c r="B19" s="75"/>
      <c r="C19" s="75"/>
      <c r="D19" s="75"/>
      <c r="E19" s="75"/>
      <c r="F19" s="75"/>
      <c r="G19" s="75"/>
      <c r="H19" s="75"/>
    </row>
    <row r="20" spans="1:8" ht="12.75">
      <c r="A20" s="75"/>
      <c r="B20" s="75"/>
      <c r="C20" s="75"/>
      <c r="D20" s="75"/>
      <c r="E20" s="75"/>
      <c r="F20" s="75"/>
      <c r="G20" s="75"/>
      <c r="H20" s="75"/>
    </row>
    <row r="23" spans="1:6" ht="12.75">
      <c r="A23" s="74" t="s">
        <v>107</v>
      </c>
      <c r="B23" s="75"/>
      <c r="C23" s="75"/>
      <c r="D23" s="75"/>
      <c r="E23" s="76"/>
      <c r="F23" s="76"/>
    </row>
    <row r="25" ht="12.75">
      <c r="A25" s="71" t="s">
        <v>108</v>
      </c>
    </row>
  </sheetData>
  <sheetProtection/>
  <mergeCells count="4">
    <mergeCell ref="A4:H13"/>
    <mergeCell ref="A15:H17"/>
    <mergeCell ref="A19:H20"/>
    <mergeCell ref="A23:F2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08"/>
  <sheetViews>
    <sheetView tabSelected="1" zoomScalePageLayoutView="0" workbookViewId="0" topLeftCell="A34">
      <selection activeCell="C107" sqref="C107"/>
    </sheetView>
  </sheetViews>
  <sheetFormatPr defaultColWidth="9.140625" defaultRowHeight="12.75"/>
  <cols>
    <col min="1" max="1" width="9.421875" style="0" customWidth="1"/>
    <col min="2" max="2" width="11.7109375" style="0" customWidth="1"/>
    <col min="3" max="3" width="13.57421875" style="0" customWidth="1"/>
    <col min="4" max="4" width="10.57421875" style="0" customWidth="1"/>
    <col min="5" max="5" width="9.57421875" style="0" customWidth="1"/>
    <col min="6" max="6" width="8.421875" style="0" customWidth="1"/>
    <col min="7" max="7" width="11.28125" style="0" customWidth="1"/>
    <col min="8" max="8" width="14.57421875" style="0" customWidth="1"/>
    <col min="9" max="9" width="10.421875" style="0" customWidth="1"/>
    <col min="10" max="10" width="11.7109375" style="0" customWidth="1"/>
  </cols>
  <sheetData>
    <row r="1" spans="1:3" ht="12.75">
      <c r="A1" s="98" t="s">
        <v>71</v>
      </c>
      <c r="B1" s="99"/>
      <c r="C1" s="100"/>
    </row>
    <row r="2" spans="1:9" ht="12.75">
      <c r="A2" s="101" t="s">
        <v>0</v>
      </c>
      <c r="B2" s="102"/>
      <c r="C2" s="103"/>
      <c r="D2" s="41">
        <v>42402</v>
      </c>
      <c r="F2" s="104" t="s">
        <v>1</v>
      </c>
      <c r="G2" s="90"/>
      <c r="H2" s="78"/>
      <c r="I2" s="38">
        <v>38</v>
      </c>
    </row>
    <row r="3" spans="1:9" ht="12.75">
      <c r="A3" s="97" t="s">
        <v>2</v>
      </c>
      <c r="B3" s="90"/>
      <c r="C3" s="78"/>
      <c r="D3" s="37">
        <v>482</v>
      </c>
      <c r="F3" s="105" t="s">
        <v>3</v>
      </c>
      <c r="G3" s="90"/>
      <c r="H3" s="90"/>
      <c r="I3" s="4">
        <f>D5+I2</f>
        <v>905.6</v>
      </c>
    </row>
    <row r="4" spans="1:9" ht="12.75">
      <c r="A4" s="90" t="s">
        <v>4</v>
      </c>
      <c r="B4" s="90"/>
      <c r="C4" s="78"/>
      <c r="D4" s="38">
        <v>180</v>
      </c>
      <c r="F4" s="91" t="s">
        <v>5</v>
      </c>
      <c r="G4" s="91"/>
      <c r="H4" s="106"/>
      <c r="I4" s="39">
        <v>4</v>
      </c>
    </row>
    <row r="5" spans="1:9" ht="12.75">
      <c r="A5" s="97" t="s">
        <v>6</v>
      </c>
      <c r="B5" s="90"/>
      <c r="C5" s="90"/>
      <c r="D5" s="5">
        <f>(D3/100)*D4</f>
        <v>867.6</v>
      </c>
      <c r="F5" s="91" t="s">
        <v>7</v>
      </c>
      <c r="G5" s="91"/>
      <c r="H5" s="91"/>
      <c r="I5" s="2">
        <f>(1-(I4/100))*D3</f>
        <v>462.71999999999997</v>
      </c>
    </row>
    <row r="7" ht="13.5" thickBot="1">
      <c r="A7" s="1"/>
    </row>
    <row r="8" spans="1:8" s="6" customFormat="1" ht="16.5" thickBot="1">
      <c r="A8" s="45" t="s">
        <v>70</v>
      </c>
      <c r="B8" s="95" t="s">
        <v>80</v>
      </c>
      <c r="C8" s="95"/>
      <c r="D8" s="95"/>
      <c r="E8" s="95"/>
      <c r="F8" s="96"/>
      <c r="G8" s="43"/>
      <c r="H8" s="43"/>
    </row>
    <row r="9" spans="1:4" ht="12.75">
      <c r="A9" s="1" t="s">
        <v>8</v>
      </c>
      <c r="D9" s="44">
        <v>20</v>
      </c>
    </row>
    <row r="10" spans="1:5" ht="12.75">
      <c r="A10" s="1" t="s">
        <v>10</v>
      </c>
      <c r="D10" s="38">
        <v>20</v>
      </c>
      <c r="E10" s="5">
        <f>D10</f>
        <v>20</v>
      </c>
    </row>
    <row r="11" spans="1:4" ht="12.75">
      <c r="A11" s="1" t="s">
        <v>13</v>
      </c>
      <c r="D11" s="39">
        <v>4</v>
      </c>
    </row>
    <row r="12" spans="1:5" ht="12.75">
      <c r="A12" t="s">
        <v>83</v>
      </c>
      <c r="D12" s="8"/>
      <c r="E12" s="5">
        <f>(D11/100)*I3</f>
        <v>36.224000000000004</v>
      </c>
    </row>
    <row r="13" spans="1:5" ht="13.5" thickBot="1">
      <c r="A13" s="1" t="s">
        <v>16</v>
      </c>
      <c r="D13" s="38">
        <v>1</v>
      </c>
      <c r="E13" s="5">
        <f>D13*D9</f>
        <v>20</v>
      </c>
    </row>
    <row r="14" spans="1:10" ht="13.5" thickBot="1">
      <c r="A14" s="1" t="s">
        <v>17</v>
      </c>
      <c r="D14" s="38">
        <v>2</v>
      </c>
      <c r="E14" s="5">
        <f>D14</f>
        <v>2</v>
      </c>
      <c r="G14" s="94" t="s">
        <v>79</v>
      </c>
      <c r="H14" s="85"/>
      <c r="I14" s="85"/>
      <c r="J14" s="86"/>
    </row>
    <row r="15" spans="1:10" ht="12.75">
      <c r="A15" s="1" t="s">
        <v>18</v>
      </c>
      <c r="D15" s="8"/>
      <c r="E15" s="5">
        <f>((D16*D17*(D18/2000))+(D19*D20*(D21/2000))+(D22*D23*(D24/2000)))</f>
        <v>6.640000000000001</v>
      </c>
      <c r="G15" s="92" t="s">
        <v>9</v>
      </c>
      <c r="H15" s="93"/>
      <c r="I15" s="21">
        <f>+D2+D9</f>
        <v>42422</v>
      </c>
      <c r="J15" s="22"/>
    </row>
    <row r="16" spans="1:10" ht="12.75">
      <c r="A16" s="59" t="s">
        <v>20</v>
      </c>
      <c r="B16" s="60"/>
      <c r="C16" s="60"/>
      <c r="D16" s="39">
        <v>8</v>
      </c>
      <c r="E16" s="5"/>
      <c r="G16" s="77" t="s">
        <v>11</v>
      </c>
      <c r="H16" s="78"/>
      <c r="I16" s="37">
        <v>0.35</v>
      </c>
      <c r="J16" s="25" t="s">
        <v>12</v>
      </c>
    </row>
    <row r="17" spans="1:10" ht="12.75">
      <c r="A17" s="61" t="s">
        <v>82</v>
      </c>
      <c r="B17" s="60"/>
      <c r="C17" s="60"/>
      <c r="D17" s="37">
        <v>20</v>
      </c>
      <c r="G17" s="77" t="s">
        <v>14</v>
      </c>
      <c r="H17" s="90"/>
      <c r="I17" s="26">
        <f>I16*D9</f>
        <v>7</v>
      </c>
      <c r="J17" s="25" t="s">
        <v>12</v>
      </c>
    </row>
    <row r="18" spans="1:10" ht="12.75">
      <c r="A18" s="59" t="s">
        <v>22</v>
      </c>
      <c r="B18" s="60"/>
      <c r="C18" s="60"/>
      <c r="D18" s="38">
        <v>83</v>
      </c>
      <c r="G18" s="77" t="s">
        <v>15</v>
      </c>
      <c r="H18" s="90"/>
      <c r="I18" s="26"/>
      <c r="J18" s="25"/>
    </row>
    <row r="19" spans="1:10" ht="12.75">
      <c r="A19" s="56" t="s">
        <v>73</v>
      </c>
      <c r="B19" s="57"/>
      <c r="C19" s="57"/>
      <c r="D19" s="39"/>
      <c r="G19" s="23"/>
      <c r="H19" s="24" t="s">
        <v>87</v>
      </c>
      <c r="I19" s="26">
        <f>D3+I17</f>
        <v>489</v>
      </c>
      <c r="J19" s="25"/>
    </row>
    <row r="20" spans="1:10" ht="12.75">
      <c r="A20" s="58" t="s">
        <v>82</v>
      </c>
      <c r="B20" s="57"/>
      <c r="C20" s="57"/>
      <c r="D20" s="40"/>
      <c r="G20" s="23"/>
      <c r="H20" s="24"/>
      <c r="I20" s="24"/>
      <c r="J20" s="31"/>
    </row>
    <row r="21" spans="1:10" ht="12.75">
      <c r="A21" s="56" t="s">
        <v>86</v>
      </c>
      <c r="B21" s="57"/>
      <c r="C21" s="57"/>
      <c r="D21" s="38"/>
      <c r="G21" s="113" t="s">
        <v>19</v>
      </c>
      <c r="H21" s="114"/>
      <c r="I21" s="32">
        <f>E30+I3+(I3*(D9*(D69/365/100)))</f>
        <v>993.4509501369864</v>
      </c>
      <c r="J21" s="31"/>
    </row>
    <row r="22" spans="1:10" ht="13.5" thickBot="1">
      <c r="A22" s="62" t="s">
        <v>23</v>
      </c>
      <c r="B22" s="63"/>
      <c r="C22" s="63"/>
      <c r="D22" s="39"/>
      <c r="G22" s="112" t="s">
        <v>21</v>
      </c>
      <c r="H22" s="83"/>
      <c r="I22" s="42">
        <f>I21/(I19/100)</f>
        <v>203.1597035044962</v>
      </c>
      <c r="J22" s="33"/>
    </row>
    <row r="23" spans="1:4" ht="12.75">
      <c r="A23" s="64" t="s">
        <v>82</v>
      </c>
      <c r="B23" s="63"/>
      <c r="C23" s="63"/>
      <c r="D23" s="37"/>
    </row>
    <row r="24" spans="1:4" ht="12.75">
      <c r="A24" s="62" t="s">
        <v>24</v>
      </c>
      <c r="B24" s="63"/>
      <c r="C24" s="63"/>
      <c r="D24" s="38"/>
    </row>
    <row r="25" spans="1:5" ht="12.75">
      <c r="A25" s="9" t="s">
        <v>25</v>
      </c>
      <c r="D25" s="38"/>
      <c r="E25" s="5">
        <f>(D9/30)*D25</f>
        <v>0</v>
      </c>
    </row>
    <row r="26" spans="1:5" ht="12.75">
      <c r="A26" s="1" t="s">
        <v>26</v>
      </c>
      <c r="D26" s="38"/>
      <c r="E26" s="5">
        <f>(D9*(D26/30.5))</f>
        <v>0</v>
      </c>
    </row>
    <row r="27" spans="1:5" ht="12.75">
      <c r="A27" s="1" t="s">
        <v>27</v>
      </c>
      <c r="D27" s="38"/>
      <c r="E27" s="5">
        <f>D27</f>
        <v>0</v>
      </c>
    </row>
    <row r="28" spans="1:5" ht="12.75">
      <c r="A28" s="9" t="s">
        <v>74</v>
      </c>
      <c r="D28" s="8"/>
      <c r="E28" s="5">
        <f>SUM(E10:E27)</f>
        <v>84.864</v>
      </c>
    </row>
    <row r="29" spans="1:5" ht="12.75">
      <c r="A29" s="1" t="s">
        <v>28</v>
      </c>
      <c r="D29" s="39">
        <v>5.75</v>
      </c>
      <c r="E29" s="5">
        <f>(E28/2)*(((D29/100)/365)*D9)</f>
        <v>0.13368986301369865</v>
      </c>
    </row>
    <row r="30" spans="1:5" ht="12.75">
      <c r="A30" s="10" t="s">
        <v>75</v>
      </c>
      <c r="E30" s="11">
        <f>SUM(E28:E29)</f>
        <v>84.9976898630137</v>
      </c>
    </row>
    <row r="32" ht="13.5" thickBot="1"/>
    <row r="33" spans="1:6" ht="13.5" thickBot="1">
      <c r="A33" s="46" t="s">
        <v>76</v>
      </c>
      <c r="B33" s="87" t="s">
        <v>102</v>
      </c>
      <c r="C33" s="87"/>
      <c r="D33" s="87"/>
      <c r="E33" s="87"/>
      <c r="F33" s="88"/>
    </row>
    <row r="34" spans="1:4" ht="12.75">
      <c r="A34" s="1" t="s">
        <v>8</v>
      </c>
      <c r="D34" s="44">
        <v>110</v>
      </c>
    </row>
    <row r="35" spans="1:5" ht="12.75">
      <c r="A35" s="1" t="s">
        <v>10</v>
      </c>
      <c r="D35" s="38">
        <v>2</v>
      </c>
      <c r="E35" s="5">
        <f>D35</f>
        <v>2</v>
      </c>
    </row>
    <row r="36" spans="1:4" ht="12.75">
      <c r="A36" s="1" t="s">
        <v>13</v>
      </c>
      <c r="D36" s="39">
        <v>1</v>
      </c>
    </row>
    <row r="37" spans="1:5" ht="12.75">
      <c r="A37" t="s">
        <v>83</v>
      </c>
      <c r="D37" s="7"/>
      <c r="E37" s="5">
        <f>(D36/100)*I21</f>
        <v>9.934509501369865</v>
      </c>
    </row>
    <row r="38" spans="1:5" ht="13.5" thickBot="1">
      <c r="A38" s="1" t="s">
        <v>16</v>
      </c>
      <c r="D38" s="38">
        <v>0.05</v>
      </c>
      <c r="E38" s="5">
        <f>D38*D34</f>
        <v>5.5</v>
      </c>
    </row>
    <row r="39" spans="1:10" ht="13.5" thickBot="1">
      <c r="A39" s="1" t="s">
        <v>17</v>
      </c>
      <c r="D39" s="38"/>
      <c r="E39" s="5">
        <f>D39</f>
        <v>0</v>
      </c>
      <c r="G39" s="94" t="s">
        <v>78</v>
      </c>
      <c r="H39" s="85"/>
      <c r="I39" s="85"/>
      <c r="J39" s="86"/>
    </row>
    <row r="40" spans="1:10" ht="12.75">
      <c r="A40" s="1" t="s">
        <v>18</v>
      </c>
      <c r="D40" s="7"/>
      <c r="E40" s="5">
        <f>((D41*D42*(D43/2000))+(D44*D45*(D46/2000))+(D47*D48*(D49/2000)))</f>
        <v>9.5425</v>
      </c>
      <c r="G40" s="19" t="s">
        <v>9</v>
      </c>
      <c r="H40" s="20"/>
      <c r="I40" s="21">
        <f>+I15+D34</f>
        <v>42532</v>
      </c>
      <c r="J40" s="22"/>
    </row>
    <row r="41" spans="1:10" ht="12.75">
      <c r="A41" s="59" t="s">
        <v>20</v>
      </c>
      <c r="B41" s="60"/>
      <c r="C41" s="60"/>
      <c r="D41" s="39">
        <v>2</v>
      </c>
      <c r="E41" s="5"/>
      <c r="G41" s="23" t="s">
        <v>11</v>
      </c>
      <c r="H41" s="24"/>
      <c r="I41" s="37">
        <v>2</v>
      </c>
      <c r="J41" s="25" t="s">
        <v>12</v>
      </c>
    </row>
    <row r="42" spans="1:10" ht="12.75">
      <c r="A42" s="61" t="s">
        <v>82</v>
      </c>
      <c r="B42" s="60"/>
      <c r="C42" s="60"/>
      <c r="D42" s="37">
        <v>110</v>
      </c>
      <c r="G42" s="23" t="s">
        <v>14</v>
      </c>
      <c r="H42" s="24"/>
      <c r="I42" s="26">
        <f>I41*D34</f>
        <v>220</v>
      </c>
      <c r="J42" s="25" t="s">
        <v>12</v>
      </c>
    </row>
    <row r="43" spans="1:10" ht="12.75">
      <c r="A43" s="59" t="s">
        <v>22</v>
      </c>
      <c r="B43" s="60"/>
      <c r="C43" s="60"/>
      <c r="D43" s="38">
        <v>83</v>
      </c>
      <c r="G43" s="23" t="s">
        <v>15</v>
      </c>
      <c r="H43" s="24"/>
      <c r="I43" s="26"/>
      <c r="J43" s="25"/>
    </row>
    <row r="44" spans="1:10" ht="13.5" thickBot="1">
      <c r="A44" s="56" t="s">
        <v>73</v>
      </c>
      <c r="B44" s="57"/>
      <c r="C44" s="57"/>
      <c r="D44" s="39"/>
      <c r="G44" s="27"/>
      <c r="H44" s="28" t="s">
        <v>87</v>
      </c>
      <c r="I44" s="29">
        <f>I19+I42</f>
        <v>709</v>
      </c>
      <c r="J44" s="30"/>
    </row>
    <row r="45" spans="1:4" ht="12.75">
      <c r="A45" s="58" t="s">
        <v>82</v>
      </c>
      <c r="B45" s="57"/>
      <c r="C45" s="57"/>
      <c r="D45" s="40"/>
    </row>
    <row r="46" spans="1:4" ht="12.75">
      <c r="A46" s="56" t="s">
        <v>86</v>
      </c>
      <c r="B46" s="57"/>
      <c r="C46" s="57"/>
      <c r="D46" s="38"/>
    </row>
    <row r="47" spans="1:4" ht="12.75">
      <c r="A47" s="62" t="s">
        <v>23</v>
      </c>
      <c r="B47" s="63"/>
      <c r="C47" s="63"/>
      <c r="D47" s="39">
        <v>0.15</v>
      </c>
    </row>
    <row r="48" spans="1:4" ht="12.75">
      <c r="A48" s="64" t="s">
        <v>82</v>
      </c>
      <c r="B48" s="63"/>
      <c r="C48" s="63"/>
      <c r="D48" s="37">
        <v>110</v>
      </c>
    </row>
    <row r="49" spans="1:4" ht="12.75">
      <c r="A49" s="62" t="s">
        <v>24</v>
      </c>
      <c r="B49" s="63"/>
      <c r="C49" s="63"/>
      <c r="D49" s="38">
        <v>50</v>
      </c>
    </row>
    <row r="50" spans="1:5" ht="12.75">
      <c r="A50" s="1" t="s">
        <v>26</v>
      </c>
      <c r="D50" s="38"/>
      <c r="E50" s="5">
        <f>(D50*(D34/30.5))</f>
        <v>0</v>
      </c>
    </row>
    <row r="51" spans="1:5" ht="12.75">
      <c r="A51" s="9" t="s">
        <v>29</v>
      </c>
      <c r="D51" s="3"/>
      <c r="E51" s="5"/>
    </row>
    <row r="52" spans="1:5" ht="12.75">
      <c r="A52" s="9" t="s">
        <v>30</v>
      </c>
      <c r="D52" s="38"/>
      <c r="E52" s="5">
        <f>(D34/30)*D52</f>
        <v>0</v>
      </c>
    </row>
    <row r="53" spans="1:5" ht="12.75">
      <c r="A53" s="9" t="s">
        <v>31</v>
      </c>
      <c r="D53" s="38"/>
      <c r="E53" s="5">
        <f>(I19/100)*(D34/30)*D53</f>
        <v>0</v>
      </c>
    </row>
    <row r="54" spans="1:5" ht="12.75">
      <c r="A54" s="9" t="s">
        <v>32</v>
      </c>
      <c r="D54" s="38">
        <v>0.45</v>
      </c>
      <c r="E54" s="5">
        <f>I42*D54</f>
        <v>99</v>
      </c>
    </row>
    <row r="55" spans="1:5" ht="12.75">
      <c r="A55" s="1" t="s">
        <v>27</v>
      </c>
      <c r="D55" s="38">
        <v>10</v>
      </c>
      <c r="E55" s="5">
        <f>D55</f>
        <v>10</v>
      </c>
    </row>
    <row r="56" spans="1:5" ht="12.75">
      <c r="A56" s="9" t="s">
        <v>72</v>
      </c>
      <c r="D56" s="12"/>
      <c r="E56" s="5">
        <f>SUM(E35:E55)</f>
        <v>135.97700950136988</v>
      </c>
    </row>
    <row r="57" spans="1:5" ht="12.75">
      <c r="A57" s="1" t="s">
        <v>28</v>
      </c>
      <c r="D57" s="39">
        <v>5.75</v>
      </c>
      <c r="E57" s="5">
        <f>(E56/2)*(((D57/100)/365)*D34)</f>
        <v>1.178156965885157</v>
      </c>
    </row>
    <row r="58" spans="1:5" ht="12.75">
      <c r="A58" s="13" t="s">
        <v>33</v>
      </c>
      <c r="E58" s="11">
        <f>SUM(E56:E57)</f>
        <v>137.15516646725504</v>
      </c>
    </row>
    <row r="59" ht="13.5" thickBot="1"/>
    <row r="60" spans="1:2" ht="13.5" thickBot="1">
      <c r="A60" s="89" t="s">
        <v>34</v>
      </c>
      <c r="B60" s="86"/>
    </row>
    <row r="61" spans="1:5" ht="12.75">
      <c r="A61" t="s">
        <v>35</v>
      </c>
      <c r="D61" s="38">
        <v>40</v>
      </c>
      <c r="E61" s="5">
        <f>D61</f>
        <v>40</v>
      </c>
    </row>
    <row r="62" spans="1:5" ht="12.75">
      <c r="A62" t="s">
        <v>36</v>
      </c>
      <c r="D62" s="38">
        <v>2</v>
      </c>
      <c r="E62" s="5">
        <f>D62</f>
        <v>2</v>
      </c>
    </row>
    <row r="63" spans="1:5" ht="12.75">
      <c r="A63" t="s">
        <v>37</v>
      </c>
      <c r="D63" s="38">
        <v>3.22</v>
      </c>
      <c r="E63" s="5">
        <f>D63</f>
        <v>3.22</v>
      </c>
    </row>
    <row r="64" spans="1:5" ht="12.75">
      <c r="A64" s="13" t="s">
        <v>38</v>
      </c>
      <c r="E64" s="5">
        <f>SUM(E61:E63)</f>
        <v>45.22</v>
      </c>
    </row>
    <row r="66" ht="13.5" thickBot="1"/>
    <row r="67" spans="1:8" ht="13.5" thickBot="1">
      <c r="A67" s="89" t="s">
        <v>41</v>
      </c>
      <c r="B67" s="86"/>
      <c r="D67" t="s">
        <v>42</v>
      </c>
      <c r="G67" s="94" t="s">
        <v>77</v>
      </c>
      <c r="H67" s="118"/>
    </row>
    <row r="68" spans="1:9" ht="12.75">
      <c r="A68" s="1" t="s">
        <v>43</v>
      </c>
      <c r="E68" s="5">
        <f>I3</f>
        <v>905.6</v>
      </c>
      <c r="G68" s="92" t="s">
        <v>39</v>
      </c>
      <c r="H68" s="93"/>
      <c r="I68" s="34">
        <f>I40-D2</f>
        <v>130</v>
      </c>
    </row>
    <row r="69" spans="1:9" ht="12.75">
      <c r="A69" t="s">
        <v>44</v>
      </c>
      <c r="D69" s="39">
        <v>5.75</v>
      </c>
      <c r="E69" s="5">
        <f>(I68/365)*(D69/100)*E68</f>
        <v>18.546191780821918</v>
      </c>
      <c r="G69" s="117" t="s">
        <v>40</v>
      </c>
      <c r="H69" s="90"/>
      <c r="I69" s="35">
        <f>I44</f>
        <v>709</v>
      </c>
    </row>
    <row r="70" spans="1:9" ht="12.75">
      <c r="A70" t="s">
        <v>45</v>
      </c>
      <c r="D70" t="s">
        <v>42</v>
      </c>
      <c r="E70" s="5">
        <f>E30</f>
        <v>84.9976898630137</v>
      </c>
      <c r="G70" s="113" t="s">
        <v>14</v>
      </c>
      <c r="H70" s="114"/>
      <c r="I70" s="36">
        <f>I69-D3</f>
        <v>227</v>
      </c>
    </row>
    <row r="71" spans="1:9" ht="12.75">
      <c r="A71" t="s">
        <v>46</v>
      </c>
      <c r="E71" s="5">
        <f>(D34/365)*(D29/100)*E70</f>
        <v>1.4729051736535936</v>
      </c>
      <c r="G71" s="115" t="s">
        <v>21</v>
      </c>
      <c r="H71" s="116"/>
      <c r="I71" s="48">
        <f>E$74/(I$69/100)</f>
        <v>168.2640272616</v>
      </c>
    </row>
    <row r="72" spans="1:9" ht="12.75">
      <c r="A72" t="s">
        <v>47</v>
      </c>
      <c r="E72" s="5">
        <f>E58</f>
        <v>137.15516646725504</v>
      </c>
      <c r="G72" s="23"/>
      <c r="H72" s="24"/>
      <c r="I72" s="31"/>
    </row>
    <row r="73" spans="1:9" ht="12.75">
      <c r="A73" t="s">
        <v>48</v>
      </c>
      <c r="E73" s="5">
        <f>E64</f>
        <v>45.22</v>
      </c>
      <c r="G73" s="77" t="s">
        <v>81</v>
      </c>
      <c r="H73" s="78"/>
      <c r="I73" s="49"/>
    </row>
    <row r="74" spans="1:9" ht="12.75">
      <c r="A74" s="10" t="s">
        <v>49</v>
      </c>
      <c r="E74" s="5">
        <f>SUM(E68:E73)</f>
        <v>1192.991953284744</v>
      </c>
      <c r="G74" s="23"/>
      <c r="H74" s="24"/>
      <c r="I74" s="31"/>
    </row>
    <row r="75" spans="1:9" ht="13.5" thickBot="1">
      <c r="A75" t="s">
        <v>50</v>
      </c>
      <c r="E75" s="5">
        <f>SUM(E70:E73)</f>
        <v>268.84576150392235</v>
      </c>
      <c r="G75" s="79" t="s">
        <v>85</v>
      </c>
      <c r="H75" s="80"/>
      <c r="I75" s="50">
        <f>(E$74+I73)/(I$69/100)</f>
        <v>168.2640272616</v>
      </c>
    </row>
    <row r="76" spans="1:5" ht="12.75">
      <c r="A76" t="s">
        <v>51</v>
      </c>
      <c r="E76" s="5">
        <f>E68+E69</f>
        <v>924.1461917808219</v>
      </c>
    </row>
    <row r="79" ht="13.5" thickBot="1"/>
    <row r="80" spans="1:3" ht="13.5" thickBot="1">
      <c r="A80" s="84" t="s">
        <v>52</v>
      </c>
      <c r="B80" s="85"/>
      <c r="C80" s="86"/>
    </row>
    <row r="82" spans="1:8" ht="12.75">
      <c r="A82" s="81" t="s">
        <v>53</v>
      </c>
      <c r="B82" s="82"/>
      <c r="C82" s="83"/>
      <c r="D82" s="53"/>
      <c r="E82" s="81" t="s">
        <v>84</v>
      </c>
      <c r="F82" s="82"/>
      <c r="G82" s="82"/>
      <c r="H82" s="83"/>
    </row>
    <row r="83" spans="5:8" ht="12.75">
      <c r="E83" s="14" t="s">
        <v>54</v>
      </c>
      <c r="F83" s="2"/>
      <c r="G83" s="44"/>
      <c r="H83" s="14" t="s">
        <v>55</v>
      </c>
    </row>
    <row r="84" spans="1:10" ht="12.75">
      <c r="A84" s="14" t="s">
        <v>56</v>
      </c>
      <c r="C84" s="38">
        <v>120</v>
      </c>
      <c r="D84" s="15" t="s">
        <v>57</v>
      </c>
      <c r="E84" s="14" t="s">
        <v>58</v>
      </c>
      <c r="F84" s="2"/>
      <c r="G84" s="38"/>
      <c r="H84" s="14" t="s">
        <v>57</v>
      </c>
      <c r="J84" s="2"/>
    </row>
    <row r="85" spans="5:8" ht="12.75">
      <c r="E85" s="14" t="s">
        <v>59</v>
      </c>
      <c r="F85" s="2"/>
      <c r="G85" s="38"/>
      <c r="H85" s="14" t="s">
        <v>57</v>
      </c>
    </row>
    <row r="86" spans="5:8" ht="12.75">
      <c r="E86" s="2"/>
      <c r="F86" s="2"/>
      <c r="G86" s="2"/>
      <c r="H86" s="2"/>
    </row>
    <row r="87" spans="1:8" ht="12.75">
      <c r="A87" s="16" t="s">
        <v>87</v>
      </c>
      <c r="B87" s="14" t="s">
        <v>60</v>
      </c>
      <c r="E87" s="16" t="s">
        <v>87</v>
      </c>
      <c r="F87" s="14" t="s">
        <v>60</v>
      </c>
      <c r="G87" s="2"/>
      <c r="H87" s="17"/>
    </row>
    <row r="88" spans="1:8" ht="12.75">
      <c r="A88" s="2">
        <v>350</v>
      </c>
      <c r="B88" s="18">
        <f>(((B$96/100)*A$96)+((A88-A$96)*(C$84/100)))/(A88/100)</f>
        <v>218.57142857142858</v>
      </c>
      <c r="E88" s="2">
        <v>350</v>
      </c>
      <c r="F88" s="18">
        <f>IF(E88&lt;=G$83,G$84,G$84-((E88-G$83)*(G$85/100)))</f>
        <v>0</v>
      </c>
      <c r="G88" s="2"/>
      <c r="H88" s="17"/>
    </row>
    <row r="89" spans="1:8" ht="12.75">
      <c r="A89" s="2">
        <v>400</v>
      </c>
      <c r="B89" s="18">
        <f aca="true" t="shared" si="0" ref="B89:B95">(((B$96/100)*A$96)+((A89-A$96)*(C$84/100)))/(A89/100)</f>
        <v>206.25</v>
      </c>
      <c r="E89" s="2">
        <v>400</v>
      </c>
      <c r="F89" s="18">
        <f aca="true" t="shared" si="1" ref="F89:F100">IF(E89&lt;=G$83,G$84,G$84-((E89-G$83)*(G$85/100)))</f>
        <v>0</v>
      </c>
      <c r="G89" s="2"/>
      <c r="H89" s="17"/>
    </row>
    <row r="90" spans="1:8" ht="12.75">
      <c r="A90" s="2">
        <v>450</v>
      </c>
      <c r="B90" s="18">
        <f t="shared" si="0"/>
        <v>196.66666666666666</v>
      </c>
      <c r="E90" s="2">
        <v>450</v>
      </c>
      <c r="F90" s="18">
        <f t="shared" si="1"/>
        <v>0</v>
      </c>
      <c r="G90" s="2"/>
      <c r="H90" s="17"/>
    </row>
    <row r="91" spans="1:8" ht="12.75">
      <c r="A91" s="2">
        <v>500</v>
      </c>
      <c r="B91" s="18">
        <f t="shared" si="0"/>
        <v>189</v>
      </c>
      <c r="E91" s="2">
        <v>500</v>
      </c>
      <c r="F91" s="18">
        <f t="shared" si="1"/>
        <v>0</v>
      </c>
      <c r="G91" s="2"/>
      <c r="H91" s="17"/>
    </row>
    <row r="92" spans="1:8" ht="12.75">
      <c r="A92" s="2">
        <v>550</v>
      </c>
      <c r="B92" s="18">
        <f t="shared" si="0"/>
        <v>182.72727272727272</v>
      </c>
      <c r="E92" s="2">
        <v>550</v>
      </c>
      <c r="F92" s="18">
        <f t="shared" si="1"/>
        <v>0</v>
      </c>
      <c r="G92" s="2"/>
      <c r="H92" s="17"/>
    </row>
    <row r="93" spans="1:8" ht="12.75">
      <c r="A93" s="2">
        <v>600</v>
      </c>
      <c r="B93" s="18">
        <f t="shared" si="0"/>
        <v>177.5</v>
      </c>
      <c r="E93" s="2">
        <v>600</v>
      </c>
      <c r="F93" s="18">
        <f t="shared" si="1"/>
        <v>0</v>
      </c>
      <c r="G93" s="2"/>
      <c r="H93" s="17"/>
    </row>
    <row r="94" spans="1:8" ht="12.75">
      <c r="A94" s="2">
        <v>650</v>
      </c>
      <c r="B94" s="18">
        <f t="shared" si="0"/>
        <v>173.07692307692307</v>
      </c>
      <c r="C94" s="14" t="s">
        <v>61</v>
      </c>
      <c r="E94" s="2">
        <v>650</v>
      </c>
      <c r="F94" s="18">
        <f t="shared" si="1"/>
        <v>0</v>
      </c>
      <c r="G94" s="2"/>
      <c r="H94" s="17"/>
    </row>
    <row r="95" spans="1:8" ht="12.75">
      <c r="A95" s="2">
        <v>700</v>
      </c>
      <c r="B95" s="18">
        <f t="shared" si="0"/>
        <v>169.28571428571428</v>
      </c>
      <c r="E95" s="2">
        <v>700</v>
      </c>
      <c r="F95" s="18">
        <f t="shared" si="1"/>
        <v>0</v>
      </c>
      <c r="G95" s="2"/>
      <c r="H95" s="17"/>
    </row>
    <row r="96" spans="1:8" ht="12.75">
      <c r="A96" s="2">
        <v>750</v>
      </c>
      <c r="B96" s="47">
        <v>166</v>
      </c>
      <c r="C96" s="14" t="s">
        <v>62</v>
      </c>
      <c r="D96" s="2"/>
      <c r="E96" s="2">
        <v>750</v>
      </c>
      <c r="F96" s="18">
        <f t="shared" si="1"/>
        <v>0</v>
      </c>
      <c r="G96" s="2"/>
      <c r="H96" s="17"/>
    </row>
    <row r="97" spans="1:8" ht="12.75">
      <c r="A97" s="2">
        <v>800</v>
      </c>
      <c r="B97" s="18">
        <f>(((B$96/100)*A$96)+((A97-A$96)*(C$84/100)))/(A97/100)</f>
        <v>163.125</v>
      </c>
      <c r="C97" s="14" t="s">
        <v>63</v>
      </c>
      <c r="D97" s="2"/>
      <c r="E97" s="2">
        <v>800</v>
      </c>
      <c r="F97" s="18">
        <f t="shared" si="1"/>
        <v>0</v>
      </c>
      <c r="G97" s="2"/>
      <c r="H97" s="17"/>
    </row>
    <row r="98" spans="1:8" ht="12.75">
      <c r="A98" s="2">
        <v>850</v>
      </c>
      <c r="B98" s="18">
        <f>(((B$96/100)*A$96)+((A98-A$96)*(C$84/100)))/(A98/100)</f>
        <v>160.58823529411765</v>
      </c>
      <c r="C98" s="14" t="s">
        <v>64</v>
      </c>
      <c r="D98" s="2"/>
      <c r="E98" s="2">
        <v>850</v>
      </c>
      <c r="F98" s="18">
        <f t="shared" si="1"/>
        <v>0</v>
      </c>
      <c r="G98" s="2"/>
      <c r="H98" s="17"/>
    </row>
    <row r="99" spans="1:8" ht="12.75">
      <c r="A99" s="2">
        <v>900</v>
      </c>
      <c r="B99" s="18">
        <f>(((B$96/100)*A$96)+((A99-A$96)*(C$84/100)))/(A99/100)</f>
        <v>158.33333333333334</v>
      </c>
      <c r="C99" s="2"/>
      <c r="D99" s="2"/>
      <c r="E99" s="2">
        <v>900</v>
      </c>
      <c r="F99" s="18">
        <f t="shared" si="1"/>
        <v>0</v>
      </c>
      <c r="G99" s="2"/>
      <c r="H99" s="17"/>
    </row>
    <row r="100" spans="1:8" ht="12.75">
      <c r="A100" s="2">
        <v>950</v>
      </c>
      <c r="B100" s="18">
        <f>(((B$96/100)*A$96)+((A100-A$96)*(C$84/100)))/(A100/100)</f>
        <v>156.31578947368422</v>
      </c>
      <c r="C100" s="2"/>
      <c r="D100" s="2"/>
      <c r="E100" s="2">
        <v>950</v>
      </c>
      <c r="F100" s="18">
        <f t="shared" si="1"/>
        <v>0</v>
      </c>
      <c r="G100" s="2"/>
      <c r="H100" s="2"/>
    </row>
    <row r="101" spans="1:8" ht="12.75">
      <c r="A101" s="2"/>
      <c r="B101" s="2"/>
      <c r="C101" s="2"/>
      <c r="D101" s="2"/>
      <c r="E101" s="2"/>
      <c r="F101" s="2"/>
      <c r="G101" s="2"/>
      <c r="H101" s="2"/>
    </row>
    <row r="102" spans="1:8" ht="13.5" thickBot="1">
      <c r="A102" s="2"/>
      <c r="B102" s="2"/>
      <c r="C102" s="2"/>
      <c r="D102" s="2"/>
      <c r="E102" s="2"/>
      <c r="F102" s="2"/>
      <c r="G102" s="2"/>
      <c r="H102" s="2"/>
    </row>
    <row r="103" spans="1:8" ht="13.5" thickBot="1">
      <c r="A103" s="110" t="s">
        <v>65</v>
      </c>
      <c r="B103" s="111"/>
      <c r="C103" s="2"/>
      <c r="D103" s="2"/>
      <c r="E103" s="2"/>
      <c r="F103" s="2"/>
      <c r="G103" s="2"/>
      <c r="H103" s="2"/>
    </row>
    <row r="104" spans="1:8" ht="12.75">
      <c r="A104" s="108" t="s">
        <v>88</v>
      </c>
      <c r="B104" s="108"/>
      <c r="C104" s="51">
        <f>I69</f>
        <v>709</v>
      </c>
      <c r="D104" s="2"/>
      <c r="E104" s="2"/>
      <c r="F104" s="2"/>
      <c r="G104" s="51">
        <f>I69</f>
        <v>709</v>
      </c>
      <c r="H104" s="2"/>
    </row>
    <row r="105" spans="1:8" ht="12.75">
      <c r="A105" s="91" t="s">
        <v>66</v>
      </c>
      <c r="B105" s="91"/>
      <c r="C105" s="52">
        <f>(((B$96/100)*A$96)+((C104-A$96)*(C$84/100)))/(C104/100)</f>
        <v>168.66008462623412</v>
      </c>
      <c r="D105" s="2"/>
      <c r="E105" s="2"/>
      <c r="F105" s="2"/>
      <c r="G105" s="52">
        <f>IF(G104&lt;=G83,G84,G84-((G104-G83)*(G85/100)))</f>
        <v>0</v>
      </c>
      <c r="H105" s="2"/>
    </row>
    <row r="106" spans="1:8" ht="12.75">
      <c r="A106" s="91" t="s">
        <v>67</v>
      </c>
      <c r="B106" s="91"/>
      <c r="C106" s="52">
        <f>C104/100*C105</f>
        <v>1195.8</v>
      </c>
      <c r="D106" s="2"/>
      <c r="E106" s="2"/>
      <c r="F106" s="2"/>
      <c r="G106" s="52">
        <f>G104/100*G105</f>
        <v>0</v>
      </c>
      <c r="H106" s="2"/>
    </row>
    <row r="107" spans="1:8" ht="13.5" thickBot="1">
      <c r="A107" s="109" t="s">
        <v>68</v>
      </c>
      <c r="B107" s="109"/>
      <c r="C107" s="52">
        <f>E74</f>
        <v>1192.991953284744</v>
      </c>
      <c r="D107" s="2"/>
      <c r="E107" s="2"/>
      <c r="F107" s="2"/>
      <c r="G107" s="52">
        <f>E74</f>
        <v>1192.991953284744</v>
      </c>
      <c r="H107" s="2"/>
    </row>
    <row r="108" spans="1:8" ht="13.5" thickBot="1">
      <c r="A108" s="107" t="s">
        <v>69</v>
      </c>
      <c r="B108" s="86"/>
      <c r="C108" s="54">
        <f>C106-C107</f>
        <v>2.8080467152558413</v>
      </c>
      <c r="D108" s="55"/>
      <c r="E108" s="55"/>
      <c r="F108" s="55"/>
      <c r="G108" s="54">
        <f>G106-G107</f>
        <v>-1192.991953284744</v>
      </c>
      <c r="H108" s="2"/>
    </row>
  </sheetData>
  <sheetProtection sheet="1"/>
  <mergeCells count="37">
    <mergeCell ref="G22:H22"/>
    <mergeCell ref="G21:H21"/>
    <mergeCell ref="G71:H71"/>
    <mergeCell ref="G70:H70"/>
    <mergeCell ref="G69:H69"/>
    <mergeCell ref="G68:H68"/>
    <mergeCell ref="G67:H67"/>
    <mergeCell ref="G39:J39"/>
    <mergeCell ref="A108:B108"/>
    <mergeCell ref="A104:B104"/>
    <mergeCell ref="A105:B105"/>
    <mergeCell ref="A106:B106"/>
    <mergeCell ref="A107:B107"/>
    <mergeCell ref="A103:B103"/>
    <mergeCell ref="A1:C1"/>
    <mergeCell ref="A2:C2"/>
    <mergeCell ref="A3:C3"/>
    <mergeCell ref="A4:C4"/>
    <mergeCell ref="F2:H2"/>
    <mergeCell ref="F3:H3"/>
    <mergeCell ref="F4:H4"/>
    <mergeCell ref="G18:H18"/>
    <mergeCell ref="F5:H5"/>
    <mergeCell ref="G15:H15"/>
    <mergeCell ref="G16:H16"/>
    <mergeCell ref="G17:H17"/>
    <mergeCell ref="G14:J14"/>
    <mergeCell ref="B8:F8"/>
    <mergeCell ref="A5:C5"/>
    <mergeCell ref="G73:H73"/>
    <mergeCell ref="G75:H75"/>
    <mergeCell ref="A82:C82"/>
    <mergeCell ref="E82:H82"/>
    <mergeCell ref="A80:C80"/>
    <mergeCell ref="B33:F33"/>
    <mergeCell ref="A60:B60"/>
    <mergeCell ref="A67:B67"/>
  </mergeCells>
  <printOptions gridLines="1"/>
  <pageMargins left="0.23" right="0.24" top="0.75" bottom="0.32" header="0.21" footer="0.5"/>
  <pageSetup horizontalDpi="300" verticalDpi="300" orientation="landscape" r:id="rId3"/>
  <headerFooter alignWithMargins="0">
    <oddHeader>&amp;C&amp;"Arial,Bold"&amp;12Feeder Cattle Budget</oddHeader>
    <oddFooter>&amp;CPage &amp;P</oddFooter>
  </headerFooter>
  <rowBreaks count="2" manualBreakCount="2">
    <brk id="30" max="65535" man="1"/>
    <brk id="79" max="65535" man="1"/>
  </rowBreaks>
  <legacyDrawing r:id="rId2"/>
</worksheet>
</file>

<file path=xl/worksheets/sheet3.xml><?xml version="1.0" encoding="utf-8"?>
<worksheet xmlns="http://schemas.openxmlformats.org/spreadsheetml/2006/main" xmlns:r="http://schemas.openxmlformats.org/officeDocument/2006/relationships">
  <dimension ref="A1:J76"/>
  <sheetViews>
    <sheetView zoomScalePageLayoutView="0" workbookViewId="0" topLeftCell="A38">
      <selection activeCell="I65" sqref="I65"/>
    </sheetView>
  </sheetViews>
  <sheetFormatPr defaultColWidth="9.140625" defaultRowHeight="12.75"/>
  <cols>
    <col min="1" max="1" width="9.421875" style="0" customWidth="1"/>
    <col min="2" max="2" width="11.7109375" style="0" customWidth="1"/>
    <col min="3" max="3" width="13.57421875" style="0" customWidth="1"/>
    <col min="4" max="4" width="10.57421875" style="0" customWidth="1"/>
    <col min="5" max="5" width="9.57421875" style="0" customWidth="1"/>
    <col min="6" max="6" width="8.421875" style="0" customWidth="1"/>
    <col min="7" max="7" width="11.28125" style="0" customWidth="1"/>
    <col min="8" max="8" width="14.57421875" style="0" customWidth="1"/>
    <col min="9" max="9" width="10.421875" style="0" customWidth="1"/>
    <col min="10" max="10" width="11.7109375" style="0" customWidth="1"/>
  </cols>
  <sheetData>
    <row r="1" spans="1:3" ht="12.75">
      <c r="A1" s="98" t="s">
        <v>95</v>
      </c>
      <c r="B1" s="99"/>
      <c r="C1" s="100"/>
    </row>
    <row r="2" spans="1:9" ht="12.75">
      <c r="A2" s="123" t="s">
        <v>96</v>
      </c>
      <c r="B2" s="102"/>
      <c r="C2" s="102"/>
      <c r="D2" s="66">
        <f>'precon &amp; graze'!I40</f>
        <v>42532</v>
      </c>
      <c r="F2" s="104" t="s">
        <v>1</v>
      </c>
      <c r="G2" s="104"/>
      <c r="H2" s="119"/>
      <c r="I2" s="38"/>
    </row>
    <row r="3" spans="1:9" ht="12.75">
      <c r="A3" s="120" t="s">
        <v>93</v>
      </c>
      <c r="B3" s="90"/>
      <c r="C3" s="124"/>
      <c r="D3" s="67">
        <f>'precon &amp; graze'!I44</f>
        <v>709</v>
      </c>
      <c r="F3" s="105" t="s">
        <v>3</v>
      </c>
      <c r="G3" s="105"/>
      <c r="H3" s="105"/>
      <c r="I3" s="4">
        <f>D5+I2</f>
        <v>1192.991953284744</v>
      </c>
    </row>
    <row r="4" spans="1:9" ht="12.75">
      <c r="A4" s="125" t="s">
        <v>91</v>
      </c>
      <c r="B4" s="90"/>
      <c r="C4" s="124"/>
      <c r="D4" s="68">
        <f>'precon &amp; graze'!I71</f>
        <v>168.2640272616</v>
      </c>
      <c r="F4" s="91" t="s">
        <v>5</v>
      </c>
      <c r="G4" s="91"/>
      <c r="H4" s="106"/>
      <c r="I4" s="39"/>
    </row>
    <row r="5" spans="1:9" ht="12.75">
      <c r="A5" s="120" t="s">
        <v>92</v>
      </c>
      <c r="B5" s="90"/>
      <c r="C5" s="90"/>
      <c r="D5" s="5">
        <f>(D3/100)*D4</f>
        <v>1192.991953284744</v>
      </c>
      <c r="F5" s="91" t="s">
        <v>7</v>
      </c>
      <c r="G5" s="91"/>
      <c r="H5" s="91"/>
      <c r="I5" s="2">
        <f>(1-(I4/100))*D3</f>
        <v>709</v>
      </c>
    </row>
    <row r="7" ht="12.75">
      <c r="A7" s="1"/>
    </row>
    <row r="8" spans="1:8" s="6" customFormat="1" ht="15.75" hidden="1" thickBot="1">
      <c r="A8" s="65" t="s">
        <v>89</v>
      </c>
      <c r="B8" s="121" t="s">
        <v>90</v>
      </c>
      <c r="C8" s="121"/>
      <c r="D8" s="121"/>
      <c r="E8" s="121"/>
      <c r="F8" s="122"/>
      <c r="G8" s="43"/>
      <c r="H8" s="43"/>
    </row>
    <row r="9" spans="1:4" ht="12.75" hidden="1">
      <c r="A9" s="1" t="s">
        <v>8</v>
      </c>
      <c r="D9" s="44">
        <v>0</v>
      </c>
    </row>
    <row r="10" spans="1:5" ht="12.75" hidden="1">
      <c r="A10" s="1" t="s">
        <v>10</v>
      </c>
      <c r="D10" s="38">
        <v>0</v>
      </c>
      <c r="E10" s="5">
        <f>D10</f>
        <v>0</v>
      </c>
    </row>
    <row r="11" spans="1:4" ht="12.75" hidden="1">
      <c r="A11" s="1" t="s">
        <v>13</v>
      </c>
      <c r="D11" s="39">
        <v>0</v>
      </c>
    </row>
    <row r="12" spans="1:5" ht="12.75" hidden="1">
      <c r="A12" t="s">
        <v>83</v>
      </c>
      <c r="D12" s="8"/>
      <c r="E12" s="5">
        <f>(D11/100)*I3</f>
        <v>0</v>
      </c>
    </row>
    <row r="13" spans="1:5" ht="13.5" hidden="1" thickBot="1">
      <c r="A13" s="1" t="s">
        <v>16</v>
      </c>
      <c r="D13" s="38">
        <v>0</v>
      </c>
      <c r="E13" s="5">
        <f>D13*D9</f>
        <v>0</v>
      </c>
    </row>
    <row r="14" spans="1:10" ht="13.5" hidden="1" thickBot="1">
      <c r="A14" s="1" t="s">
        <v>17</v>
      </c>
      <c r="D14" s="38">
        <v>0</v>
      </c>
      <c r="E14" s="5">
        <f>D14</f>
        <v>0</v>
      </c>
      <c r="G14" s="94" t="s">
        <v>79</v>
      </c>
      <c r="H14" s="85"/>
      <c r="I14" s="85"/>
      <c r="J14" s="86"/>
    </row>
    <row r="15" spans="1:10" ht="12.75" hidden="1">
      <c r="A15" s="1" t="s">
        <v>18</v>
      </c>
      <c r="D15" s="8"/>
      <c r="E15" s="5">
        <f>((D16*D17*(D18/2000))+(D19*D20*(D21/2000))+(D22*D23*(D24/2000)))</f>
        <v>0</v>
      </c>
      <c r="G15" s="92" t="s">
        <v>9</v>
      </c>
      <c r="H15" s="93"/>
      <c r="I15" s="21">
        <f>+D2+D9</f>
        <v>42532</v>
      </c>
      <c r="J15" s="22"/>
    </row>
    <row r="16" spans="1:10" ht="12.75" hidden="1">
      <c r="A16" s="59" t="s">
        <v>20</v>
      </c>
      <c r="B16" s="60"/>
      <c r="C16" s="60"/>
      <c r="D16" s="39">
        <v>0</v>
      </c>
      <c r="E16" s="5"/>
      <c r="G16" s="77" t="s">
        <v>11</v>
      </c>
      <c r="H16" s="78"/>
      <c r="I16" s="37">
        <v>1</v>
      </c>
      <c r="J16" s="25" t="s">
        <v>12</v>
      </c>
    </row>
    <row r="17" spans="1:10" ht="12.75" hidden="1">
      <c r="A17" s="61" t="s">
        <v>82</v>
      </c>
      <c r="B17" s="60"/>
      <c r="C17" s="60"/>
      <c r="D17" s="37">
        <v>0</v>
      </c>
      <c r="G17" s="77" t="s">
        <v>14</v>
      </c>
      <c r="H17" s="90"/>
      <c r="I17" s="26">
        <f>I16*D9</f>
        <v>0</v>
      </c>
      <c r="J17" s="25" t="s">
        <v>12</v>
      </c>
    </row>
    <row r="18" spans="1:10" ht="12.75" hidden="1">
      <c r="A18" s="59" t="s">
        <v>22</v>
      </c>
      <c r="B18" s="60"/>
      <c r="C18" s="60"/>
      <c r="D18" s="38">
        <v>125</v>
      </c>
      <c r="G18" s="77" t="s">
        <v>15</v>
      </c>
      <c r="H18" s="90"/>
      <c r="I18" s="26"/>
      <c r="J18" s="25"/>
    </row>
    <row r="19" spans="1:10" ht="12.75" hidden="1">
      <c r="A19" s="56" t="s">
        <v>73</v>
      </c>
      <c r="B19" s="57"/>
      <c r="C19" s="57"/>
      <c r="D19" s="39">
        <v>12</v>
      </c>
      <c r="G19" s="23"/>
      <c r="H19" s="24" t="s">
        <v>87</v>
      </c>
      <c r="I19" s="26">
        <f>D3+I17</f>
        <v>709</v>
      </c>
      <c r="J19" s="25"/>
    </row>
    <row r="20" spans="1:10" ht="12.75" hidden="1">
      <c r="A20" s="58" t="s">
        <v>82</v>
      </c>
      <c r="B20" s="57"/>
      <c r="C20" s="57"/>
      <c r="D20" s="40">
        <v>0</v>
      </c>
      <c r="G20" s="23"/>
      <c r="H20" s="24"/>
      <c r="I20" s="24"/>
      <c r="J20" s="31"/>
    </row>
    <row r="21" spans="1:10" ht="12.75" hidden="1">
      <c r="A21" s="56" t="s">
        <v>86</v>
      </c>
      <c r="B21" s="57"/>
      <c r="C21" s="57"/>
      <c r="D21" s="38">
        <v>160</v>
      </c>
      <c r="G21" s="113" t="s">
        <v>19</v>
      </c>
      <c r="H21" s="114"/>
      <c r="I21" s="32">
        <f>E30+D5+(D5*(D9*(D61/365/100)))</f>
        <v>1192.991953284744</v>
      </c>
      <c r="J21" s="31"/>
    </row>
    <row r="22" spans="1:10" ht="13.5" hidden="1" thickBot="1">
      <c r="A22" s="62" t="s">
        <v>23</v>
      </c>
      <c r="B22" s="63"/>
      <c r="C22" s="63"/>
      <c r="D22" s="39">
        <v>0</v>
      </c>
      <c r="G22" s="112" t="s">
        <v>21</v>
      </c>
      <c r="H22" s="83"/>
      <c r="I22" s="42">
        <f>I21/(I19/100)</f>
        <v>168.2640272616</v>
      </c>
      <c r="J22" s="33"/>
    </row>
    <row r="23" spans="1:4" ht="12.75" hidden="1">
      <c r="A23" s="64" t="s">
        <v>82</v>
      </c>
      <c r="B23" s="63"/>
      <c r="C23" s="63"/>
      <c r="D23" s="37">
        <v>0</v>
      </c>
    </row>
    <row r="24" spans="1:4" ht="12.75" hidden="1">
      <c r="A24" s="62" t="s">
        <v>24</v>
      </c>
      <c r="B24" s="63"/>
      <c r="C24" s="63"/>
      <c r="D24" s="38">
        <v>0</v>
      </c>
    </row>
    <row r="25" spans="1:5" ht="12.75" hidden="1">
      <c r="A25" s="9" t="s">
        <v>25</v>
      </c>
      <c r="D25" s="38">
        <v>0</v>
      </c>
      <c r="E25" s="5">
        <f>(D9/30)*D25</f>
        <v>0</v>
      </c>
    </row>
    <row r="26" spans="1:5" ht="12.75" hidden="1">
      <c r="A26" s="1" t="s">
        <v>26</v>
      </c>
      <c r="D26" s="38">
        <v>0</v>
      </c>
      <c r="E26" s="5">
        <f>(D9*(D26/30.5))</f>
        <v>0</v>
      </c>
    </row>
    <row r="27" spans="1:5" ht="12.75" hidden="1">
      <c r="A27" s="1" t="s">
        <v>27</v>
      </c>
      <c r="D27" s="38">
        <v>0</v>
      </c>
      <c r="E27" s="5">
        <f>D27</f>
        <v>0</v>
      </c>
    </row>
    <row r="28" spans="1:5" ht="12.75" hidden="1">
      <c r="A28" s="9" t="s">
        <v>74</v>
      </c>
      <c r="D28" s="8"/>
      <c r="E28" s="5">
        <f>SUM(E10:E27)</f>
        <v>0</v>
      </c>
    </row>
    <row r="29" spans="1:5" ht="12.75" hidden="1">
      <c r="A29" s="1" t="s">
        <v>28</v>
      </c>
      <c r="D29" s="39">
        <v>4.5</v>
      </c>
      <c r="E29" s="5">
        <f>(E28/2)*(((D29/100)/365)*D9)</f>
        <v>0</v>
      </c>
    </row>
    <row r="30" spans="1:5" ht="12.75" hidden="1">
      <c r="A30" s="10" t="s">
        <v>75</v>
      </c>
      <c r="E30" s="11">
        <f>SUM(E28:E29)</f>
        <v>0</v>
      </c>
    </row>
    <row r="32" ht="13.5" thickBot="1"/>
    <row r="33" spans="1:6" ht="13.5" thickBot="1">
      <c r="A33" s="46" t="s">
        <v>89</v>
      </c>
      <c r="B33" s="87" t="s">
        <v>90</v>
      </c>
      <c r="C33" s="87"/>
      <c r="D33" s="87"/>
      <c r="E33" s="87"/>
      <c r="F33" s="88"/>
    </row>
    <row r="34" spans="1:4" ht="12.75">
      <c r="A34" s="1" t="s">
        <v>8</v>
      </c>
      <c r="D34" s="44"/>
    </row>
    <row r="35" spans="1:5" ht="12.75">
      <c r="A35" s="1" t="s">
        <v>10</v>
      </c>
      <c r="D35" s="38"/>
      <c r="E35" s="5">
        <f>D35</f>
        <v>0</v>
      </c>
    </row>
    <row r="36" spans="1:4" ht="12.75">
      <c r="A36" s="1" t="s">
        <v>13</v>
      </c>
      <c r="D36" s="39"/>
    </row>
    <row r="37" spans="1:5" ht="12.75">
      <c r="A37" t="s">
        <v>83</v>
      </c>
      <c r="D37" s="7"/>
      <c r="E37" s="5">
        <f>(D36/100)*I21</f>
        <v>0</v>
      </c>
    </row>
    <row r="38" spans="1:5" ht="13.5" thickBot="1">
      <c r="A38" s="1" t="s">
        <v>16</v>
      </c>
      <c r="D38" s="38"/>
      <c r="E38" s="5">
        <f>D38*D34</f>
        <v>0</v>
      </c>
    </row>
    <row r="39" spans="1:10" ht="13.5" thickBot="1">
      <c r="A39" s="1" t="s">
        <v>17</v>
      </c>
      <c r="D39" s="38"/>
      <c r="E39" s="5">
        <f>D39</f>
        <v>0</v>
      </c>
      <c r="G39" s="94" t="s">
        <v>97</v>
      </c>
      <c r="H39" s="85"/>
      <c r="I39" s="85"/>
      <c r="J39" s="86"/>
    </row>
    <row r="40" spans="1:10" ht="12.75">
      <c r="A40" s="1" t="s">
        <v>18</v>
      </c>
      <c r="D40" s="7"/>
      <c r="E40" s="5">
        <f>((D41*D42*(D43/2000))+(D44*D45*(D46/2000)))</f>
        <v>0</v>
      </c>
      <c r="G40" s="19" t="s">
        <v>9</v>
      </c>
      <c r="H40" s="20"/>
      <c r="I40" s="21">
        <f>+I15+D34</f>
        <v>42532</v>
      </c>
      <c r="J40" s="22"/>
    </row>
    <row r="41" spans="1:10" ht="12.75">
      <c r="A41" s="59" t="s">
        <v>20</v>
      </c>
      <c r="B41" s="60"/>
      <c r="C41" s="60"/>
      <c r="D41" s="39"/>
      <c r="E41" s="5"/>
      <c r="G41" s="23" t="s">
        <v>11</v>
      </c>
      <c r="H41" s="24"/>
      <c r="I41" s="37"/>
      <c r="J41" s="25" t="s">
        <v>12</v>
      </c>
    </row>
    <row r="42" spans="1:10" ht="12.75">
      <c r="A42" s="61" t="s">
        <v>82</v>
      </c>
      <c r="B42" s="60"/>
      <c r="C42" s="60"/>
      <c r="D42" s="37"/>
      <c r="G42" s="23" t="s">
        <v>14</v>
      </c>
      <c r="H42" s="24"/>
      <c r="I42" s="26">
        <f>I41*D34</f>
        <v>0</v>
      </c>
      <c r="J42" s="25" t="s">
        <v>12</v>
      </c>
    </row>
    <row r="43" spans="1:10" ht="12.75">
      <c r="A43" s="59" t="s">
        <v>22</v>
      </c>
      <c r="B43" s="60"/>
      <c r="C43" s="60"/>
      <c r="D43" s="38"/>
      <c r="G43" s="23" t="s">
        <v>15</v>
      </c>
      <c r="H43" s="24"/>
      <c r="I43" s="26"/>
      <c r="J43" s="25"/>
    </row>
    <row r="44" spans="1:10" ht="12.75">
      <c r="A44" s="56" t="s">
        <v>94</v>
      </c>
      <c r="B44" s="57"/>
      <c r="C44" s="57"/>
      <c r="D44" s="39"/>
      <c r="G44" s="23"/>
      <c r="H44" s="24" t="s">
        <v>87</v>
      </c>
      <c r="I44" s="26">
        <f>I19+I42</f>
        <v>709</v>
      </c>
      <c r="J44" s="25"/>
    </row>
    <row r="45" spans="1:10" ht="13.5" thickBot="1">
      <c r="A45" s="58" t="s">
        <v>82</v>
      </c>
      <c r="B45" s="57"/>
      <c r="C45" s="57"/>
      <c r="D45" s="40"/>
      <c r="G45" s="69" t="s">
        <v>98</v>
      </c>
      <c r="H45" s="28"/>
      <c r="I45" s="70" t="e">
        <f>((D41*D42)+(D44*D45))/I42</f>
        <v>#DIV/0!</v>
      </c>
      <c r="J45" s="33"/>
    </row>
    <row r="46" spans="1:4" ht="12.75">
      <c r="A46" s="56" t="s">
        <v>99</v>
      </c>
      <c r="B46" s="57"/>
      <c r="C46" s="57"/>
      <c r="D46" s="38"/>
    </row>
    <row r="47" spans="1:5" ht="12.75">
      <c r="A47" s="1" t="s">
        <v>27</v>
      </c>
      <c r="D47" s="38"/>
      <c r="E47" s="5">
        <f>D47</f>
        <v>0</v>
      </c>
    </row>
    <row r="48" spans="1:5" ht="12.75">
      <c r="A48" s="9" t="s">
        <v>72</v>
      </c>
      <c r="D48" s="12"/>
      <c r="E48" s="5">
        <f>SUM(E35:E47)</f>
        <v>0</v>
      </c>
    </row>
    <row r="49" spans="1:5" ht="12.75">
      <c r="A49" s="1" t="s">
        <v>28</v>
      </c>
      <c r="D49" s="39"/>
      <c r="E49" s="5">
        <f>(E48/2)*(((D49/100)/365)*D34)</f>
        <v>0</v>
      </c>
    </row>
    <row r="50" spans="1:5" ht="12.75">
      <c r="A50" s="13" t="s">
        <v>100</v>
      </c>
      <c r="E50" s="11">
        <f>SUM(E48:E49)</f>
        <v>0</v>
      </c>
    </row>
    <row r="51" ht="13.5" thickBot="1"/>
    <row r="52" spans="1:2" ht="13.5" thickBot="1">
      <c r="A52" s="89" t="s">
        <v>34</v>
      </c>
      <c r="B52" s="86"/>
    </row>
    <row r="53" spans="1:5" ht="12.75">
      <c r="A53" t="s">
        <v>35</v>
      </c>
      <c r="D53" s="38"/>
      <c r="E53" s="5">
        <f>D53</f>
        <v>0</v>
      </c>
    </row>
    <row r="54" spans="1:5" ht="12.75">
      <c r="A54" t="s">
        <v>36</v>
      </c>
      <c r="D54" s="38"/>
      <c r="E54" s="5">
        <f>D54</f>
        <v>0</v>
      </c>
    </row>
    <row r="55" spans="1:5" ht="12.75">
      <c r="A55" t="s">
        <v>37</v>
      </c>
      <c r="D55" s="38"/>
      <c r="E55" s="5">
        <f>D55</f>
        <v>0</v>
      </c>
    </row>
    <row r="56" spans="1:5" ht="12.75">
      <c r="A56" s="13" t="s">
        <v>38</v>
      </c>
      <c r="E56" s="5">
        <f>SUM(E53:E55)</f>
        <v>0</v>
      </c>
    </row>
    <row r="58" ht="13.5" thickBot="1"/>
    <row r="59" spans="1:8" ht="13.5" thickBot="1">
      <c r="A59" s="89" t="s">
        <v>41</v>
      </c>
      <c r="B59" s="86"/>
      <c r="D59" t="s">
        <v>42</v>
      </c>
      <c r="G59" s="94" t="s">
        <v>77</v>
      </c>
      <c r="H59" s="118"/>
    </row>
    <row r="60" spans="1:9" ht="12.75">
      <c r="A60" s="1" t="s">
        <v>43</v>
      </c>
      <c r="E60" s="5">
        <f>I3</f>
        <v>1192.991953284744</v>
      </c>
      <c r="G60" s="92" t="s">
        <v>39</v>
      </c>
      <c r="H60" s="93"/>
      <c r="I60" s="34">
        <f>I40-D2</f>
        <v>0</v>
      </c>
    </row>
    <row r="61" spans="1:9" ht="12.75">
      <c r="A61" t="s">
        <v>44</v>
      </c>
      <c r="D61" s="39"/>
      <c r="E61" s="5">
        <f>(I60/365)*(D61/100)*E60</f>
        <v>0</v>
      </c>
      <c r="G61" s="117" t="s">
        <v>40</v>
      </c>
      <c r="H61" s="90"/>
      <c r="I61" s="35">
        <f>I44</f>
        <v>709</v>
      </c>
    </row>
    <row r="62" spans="1:9" ht="12.75">
      <c r="A62" s="72" t="s">
        <v>45</v>
      </c>
      <c r="B62" s="72"/>
      <c r="C62" s="72"/>
      <c r="D62" s="72" t="s">
        <v>42</v>
      </c>
      <c r="E62" s="73">
        <f>E30</f>
        <v>0</v>
      </c>
      <c r="G62" s="113" t="s">
        <v>14</v>
      </c>
      <c r="H62" s="114"/>
      <c r="I62" s="36">
        <f>I61-D3</f>
        <v>0</v>
      </c>
    </row>
    <row r="63" spans="1:9" ht="12.75">
      <c r="A63" s="72" t="s">
        <v>46</v>
      </c>
      <c r="B63" s="72"/>
      <c r="C63" s="72"/>
      <c r="D63" s="72"/>
      <c r="E63" s="73">
        <f>(D34/365)*(D29/100)*E62</f>
        <v>0</v>
      </c>
      <c r="G63" s="115" t="s">
        <v>21</v>
      </c>
      <c r="H63" s="116"/>
      <c r="I63" s="48">
        <f>E$66/(I$61/100)</f>
        <v>168.2640272616</v>
      </c>
    </row>
    <row r="64" spans="1:9" ht="12.75">
      <c r="A64" s="71" t="s">
        <v>101</v>
      </c>
      <c r="E64" s="5">
        <f>E50</f>
        <v>0</v>
      </c>
      <c r="G64" s="23"/>
      <c r="H64" s="24"/>
      <c r="I64" s="31"/>
    </row>
    <row r="65" spans="1:9" ht="12.75">
      <c r="A65" t="s">
        <v>48</v>
      </c>
      <c r="E65" s="5">
        <f>E56</f>
        <v>0</v>
      </c>
      <c r="G65" s="77" t="s">
        <v>81</v>
      </c>
      <c r="H65" s="78"/>
      <c r="I65" s="49"/>
    </row>
    <row r="66" spans="1:9" ht="12.75">
      <c r="A66" s="10" t="s">
        <v>49</v>
      </c>
      <c r="E66" s="5">
        <f>SUM(E60:E65)</f>
        <v>1192.991953284744</v>
      </c>
      <c r="G66" s="23"/>
      <c r="H66" s="24"/>
      <c r="I66" s="31"/>
    </row>
    <row r="67" spans="1:9" ht="13.5" thickBot="1">
      <c r="A67" t="s">
        <v>50</v>
      </c>
      <c r="E67" s="5">
        <f>SUM(E62:E65)</f>
        <v>0</v>
      </c>
      <c r="G67" s="79" t="s">
        <v>85</v>
      </c>
      <c r="H67" s="80"/>
      <c r="I67" s="50">
        <f>(E$66+I65)/(I$61/100)</f>
        <v>168.2640272616</v>
      </c>
    </row>
    <row r="68" spans="1:5" ht="12.75">
      <c r="A68" t="s">
        <v>51</v>
      </c>
      <c r="E68" s="5">
        <f>E60+E61</f>
        <v>1192.991953284744</v>
      </c>
    </row>
    <row r="76" ht="12.75">
      <c r="J76" s="2"/>
    </row>
  </sheetData>
  <sheetProtection sheet="1" objects="1" scenarios="1"/>
  <mergeCells count="28">
    <mergeCell ref="G62:H62"/>
    <mergeCell ref="G63:H63"/>
    <mergeCell ref="G15:H15"/>
    <mergeCell ref="G16:H16"/>
    <mergeCell ref="G65:H65"/>
    <mergeCell ref="G67:H67"/>
    <mergeCell ref="G17:H17"/>
    <mergeCell ref="G18:H18"/>
    <mergeCell ref="G21:H21"/>
    <mergeCell ref="G22:H22"/>
    <mergeCell ref="G61:H61"/>
    <mergeCell ref="G60:H60"/>
    <mergeCell ref="A1:C1"/>
    <mergeCell ref="A2:C2"/>
    <mergeCell ref="A3:C3"/>
    <mergeCell ref="A4:C4"/>
    <mergeCell ref="B33:F33"/>
    <mergeCell ref="G39:J39"/>
    <mergeCell ref="F4:H4"/>
    <mergeCell ref="F3:H3"/>
    <mergeCell ref="A59:B59"/>
    <mergeCell ref="G59:H59"/>
    <mergeCell ref="F2:H2"/>
    <mergeCell ref="A5:C5"/>
    <mergeCell ref="F5:H5"/>
    <mergeCell ref="B8:F8"/>
    <mergeCell ref="G14:J14"/>
    <mergeCell ref="A52:B52"/>
  </mergeCells>
  <printOptions gridLines="1"/>
  <pageMargins left="0.23" right="0.24" top="0.75" bottom="0.32" header="0.21" footer="0.5"/>
  <pageSetup horizontalDpi="300" verticalDpi="300" orientation="landscape" r:id="rId3"/>
  <headerFooter alignWithMargins="0">
    <oddHeader>&amp;C&amp;"Arial,Bold"&amp;12Feeder Cattle Budget</oddHeader>
    <oddFooter>&amp;CPage &amp;P</oddFooter>
  </headerFooter>
  <rowBreaks count="1" manualBreakCount="1">
    <brk id="30"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Authorized Gateway Customer</dc:creator>
  <cp:keywords/>
  <dc:description/>
  <cp:lastModifiedBy>Ronda Fisher</cp:lastModifiedBy>
  <cp:lastPrinted>2010-02-19T20:23:17Z</cp:lastPrinted>
  <dcterms:created xsi:type="dcterms:W3CDTF">2001-10-19T14:49:35Z</dcterms:created>
  <dcterms:modified xsi:type="dcterms:W3CDTF">2016-02-25T14:46:37Z</dcterms:modified>
  <cp:category/>
  <cp:version/>
  <cp:contentType/>
  <cp:contentStatus/>
</cp:coreProperties>
</file>